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0_11.bin" ContentType="application/vnd.openxmlformats-officedocument.oleObject"/>
  <Override PartName="/xl/embeddings/oleObject_0_12.bin" ContentType="application/vnd.openxmlformats-officedocument.oleObject"/>
  <Override PartName="/xl/embeddings/oleObject_0_13.bin" ContentType="application/vnd.openxmlformats-officedocument.oleObject"/>
  <Override PartName="/xl/embeddings/oleObject_0_14.bin" ContentType="application/vnd.openxmlformats-officedocument.oleObject"/>
  <Override PartName="/xl/embeddings/oleObject_0_15.bin" ContentType="application/vnd.openxmlformats-officedocument.oleObject"/>
  <Override PartName="/xl/embeddings/oleObject_0_1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0" windowWidth="11400" windowHeight="6570" tabRatio="743" activeTab="0"/>
  </bookViews>
  <sheets>
    <sheet name="Introduction" sheetId="1" r:id="rId1"/>
    <sheet name="Input Data" sheetId="2" r:id="rId2"/>
    <sheet name="Process Data" sheetId="3" r:id="rId3"/>
    <sheet name="Expense Cost Calculation" sheetId="4" r:id="rId4"/>
    <sheet name="Total Cost" sheetId="5" r:id="rId5"/>
    <sheet name="Number of tools" sheetId="6" r:id="rId6"/>
    <sheet name="Personnel Requirement" sheetId="7" r:id="rId7"/>
    <sheet name="Phased Capacity" sheetId="8" r:id="rId8"/>
  </sheets>
  <definedNames>
    <definedName name="a">'Input Data'!$C$60</definedName>
    <definedName name="A0T">'Input Data'!$D$78</definedName>
    <definedName name="A0W">'Input Data'!$E$78</definedName>
    <definedName name="A1D">'Input Data'!$E$78</definedName>
    <definedName name="A1T">'Input Data'!$D$79</definedName>
    <definedName name="A1W">'Input Data'!$E$79</definedName>
    <definedName name="A2D">'Input Data'!$E$79</definedName>
    <definedName name="A2T">'Input Data'!$D$80</definedName>
    <definedName name="A2W">'Input Data'!$E$80</definedName>
    <definedName name="A3D">'Input Data'!$E$80</definedName>
    <definedName name="A3T">'Input Data'!$D$81</definedName>
    <definedName name="A3W">'Input Data'!$E$81</definedName>
    <definedName name="A4T">'Input Data'!$D$82</definedName>
    <definedName name="A4W">'Input Data'!$E$82</definedName>
    <definedName name="A5T">'Input Data'!$D$83</definedName>
    <definedName name="A5W">'Input Data'!$E$83</definedName>
    <definedName name="A6T">'Input Data'!$D$84</definedName>
    <definedName name="A6W">'Input Data'!$E$84</definedName>
    <definedName name="A7T">'Input Data'!$D$85</definedName>
    <definedName name="A7W">'Input Data'!$E$85</definedName>
    <definedName name="A8T">'Input Data'!#REF!</definedName>
    <definedName name="A8W">'Input Data'!#REF!</definedName>
    <definedName name="anscount" hidden="1">1</definedName>
    <definedName name="AW0">'Input Data'!$E$78</definedName>
    <definedName name="b">'Input Data'!$C$59</definedName>
    <definedName name="CRITERIA" localSheetId="3">'Expense Cost Calculation'!#REF!</definedName>
    <definedName name="CT">'Input Data'!$C$56</definedName>
    <definedName name="CT_ACTUAL">'Process Data'!$AP$50</definedName>
    <definedName name="CT_CALC">'Process Data'!$AO$50</definedName>
    <definedName name="CT_FACTOR">'Process Data'!$AQ$50</definedName>
    <definedName name="CT_HANDLE">'Process Data'!$R$303</definedName>
    <definedName name="CT_TOTAL">'Input Data'!$C$54</definedName>
    <definedName name="DCPD" localSheetId="7">'Phased Capacity'!$B$36</definedName>
    <definedName name="DCPD">'Total Cost'!$C$36</definedName>
    <definedName name="DOUT">'Input Data'!$C$58</definedName>
    <definedName name="F_D">'Input Data'!#REF!</definedName>
    <definedName name="FCT">'Input Data'!$C$76</definedName>
    <definedName name="FD">'Input Data'!#REF!</definedName>
    <definedName name="FROL" localSheetId="7">'Phased Capacity'!$C$61</definedName>
    <definedName name="FROL">'Total Cost'!$C$61</definedName>
    <definedName name="FRT">'Input Data'!#REF!</definedName>
    <definedName name="FVT">'Input Data'!#REF!</definedName>
    <definedName name="FW">'Input Data'!#REF!</definedName>
    <definedName name="FYF">'Input Data'!#REF!</definedName>
    <definedName name="I_D">'Input Data'!#REF!</definedName>
    <definedName name="ICT">'Input Data'!$D$76</definedName>
    <definedName name="ID">'Input Data'!#REF!</definedName>
    <definedName name="IRT">'Input Data'!#REF!</definedName>
    <definedName name="IVCT">'Input Data'!#REF!</definedName>
    <definedName name="IVT">'Input Data'!#REF!</definedName>
    <definedName name="IW">'Input Data'!#REF!</definedName>
    <definedName name="IWS">'Input Data'!#REF!</definedName>
    <definedName name="IYF">'Input Data'!#REF!</definedName>
    <definedName name="LIFE">'Input Data'!$C$48</definedName>
    <definedName name="limcount" hidden="1">1</definedName>
    <definedName name="LY">'Input Data'!$C$45</definedName>
    <definedName name="PC_DCPD">'Phased Capacity'!$J$23</definedName>
    <definedName name="PC_FT">'Phased Capacity'!$C$27</definedName>
    <definedName name="PC_FW">'Phased Capacity'!#REF!</definedName>
    <definedName name="PC_TD">'Phased Capacity'!$E$27</definedName>
    <definedName name="PC_TR">'Phased Capacity'!$F$27</definedName>
    <definedName name="PC_TT">'Phased Capacity'!$A$11</definedName>
    <definedName name="PC_TW">'Phased Capacity'!#REF!</definedName>
    <definedName name="_xlnm.Print_Area" localSheetId="5">'Number of tools'!$A$1:$G$51</definedName>
    <definedName name="_xlnm.Print_Area" localSheetId="6">'Personnel Requirement'!$A$1:$I$28</definedName>
    <definedName name="_xlnm.Print_Area" localSheetId="7">'Phased Capacity'!$A$1:$J$41</definedName>
    <definedName name="_xlnm.Print_Area" localSheetId="4">'Total Cost'!$A$1:$J$41</definedName>
    <definedName name="R0">'Input Data'!$C$51</definedName>
    <definedName name="ROL" localSheetId="7">'Phased Capacity'!$C$50</definedName>
    <definedName name="ROL">'Total Cost'!$C$50</definedName>
    <definedName name="RT">'Input Data'!$C$49</definedName>
    <definedName name="SCALE_FACTOR">'Process Data'!$AA$307</definedName>
    <definedName name="sencount" hidden="1">1</definedName>
    <definedName name="solver_adj" localSheetId="3" hidden="1">'Input Data'!$C$57</definedName>
    <definedName name="solver_cvg" localSheetId="3" hidden="1">0.001</definedName>
    <definedName name="solver_drv" localSheetId="3" hidden="1">1</definedName>
    <definedName name="solver_est" localSheetId="3" hidden="1">1</definedName>
    <definedName name="solver_itr" localSheetId="3" hidden="1">100</definedName>
    <definedName name="solver_lhs1" localSheetId="3" hidden="1">'Input Data'!$C$57</definedName>
    <definedName name="solver_lhs2" localSheetId="3" hidden="1">'Input Data'!$C$57</definedName>
    <definedName name="solver_lin" localSheetId="3" hidden="1">2</definedName>
    <definedName name="solver_neg" localSheetId="3" hidden="1">2</definedName>
    <definedName name="solver_num" localSheetId="3" hidden="1">2</definedName>
    <definedName name="solver_nwt" localSheetId="3" hidden="1">1</definedName>
    <definedName name="solver_opt" localSheetId="3" hidden="1">'Total Cost'!$G$3</definedName>
    <definedName name="solver_pre" localSheetId="3" hidden="1">0.000001</definedName>
    <definedName name="solver_rel1" localSheetId="3" hidden="1">1</definedName>
    <definedName name="solver_rel2" localSheetId="3" hidden="1">3</definedName>
    <definedName name="solver_rhs1" localSheetId="3" hidden="1">50000</definedName>
    <definedName name="solver_rhs2" localSheetId="3" hidden="1">10000</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 name="T1D">'Input Data'!$D$79</definedName>
    <definedName name="T2D">'Input Data'!$D$80</definedName>
    <definedName name="T3D">'Input Data'!$D$81</definedName>
    <definedName name="TD" localSheetId="7">'Phased Capacity'!#REF!</definedName>
    <definedName name="TD">'Total Cost'!$C$20</definedName>
    <definedName name="TDC" localSheetId="7">'Phased Capacity'!$B$34</definedName>
    <definedName name="TDC">'Total Cost'!$C$34</definedName>
    <definedName name="TF">#REF!</definedName>
    <definedName name="Va">'Input Data'!$J$55</definedName>
    <definedName name="Vs">'Input Data'!$J$56</definedName>
    <definedName name="VT">'Input Data'!$C$53</definedName>
    <definedName name="W0F">#REF!</definedName>
    <definedName name="W0T">'Input Data'!$D$78</definedName>
    <definedName name="W0W">'Input Data'!$E$78</definedName>
    <definedName name="W1T">'Input Data'!#REF!</definedName>
    <definedName name="W1W">'Input Data'!$E$78</definedName>
    <definedName name="W2T">'Input Data'!$D$80</definedName>
    <definedName name="W2W">'Input Data'!$E$80</definedName>
    <definedName name="W3T">'Input Data'!$D$81</definedName>
    <definedName name="W3W">'Input Data'!$E$81</definedName>
    <definedName name="WIT">'Input Data'!$D$79</definedName>
    <definedName name="WIW">'Input Data'!$E$79</definedName>
    <definedName name="WS">'Input Data'!$C$57</definedName>
    <definedName name="WS0">'Input Data'!$E$78</definedName>
    <definedName name="Y0">'Input Data'!$C$47</definedName>
    <definedName name="YF">'Input Data'!$C$46</definedName>
    <definedName name="Z_AAC673A9_F1C9_11D2_BD61_00105A095F7C_.wvu.Cols" localSheetId="3" hidden="1">'Expense Cost Calculation'!$B:$E,'Expense Cost Calculation'!$M:$AQ</definedName>
    <definedName name="Z_AAC673A9_F1C9_11D2_BD61_00105A095F7C_.wvu.FilterData" localSheetId="3" hidden="1">'Expense Cost Calculation'!$E$5:$E$288</definedName>
  </definedNames>
  <calcPr fullCalcOnLoad="1"/>
</workbook>
</file>

<file path=xl/sharedStrings.xml><?xml version="1.0" encoding="utf-8"?>
<sst xmlns="http://schemas.openxmlformats.org/spreadsheetml/2006/main" count="1253" uniqueCount="626">
  <si>
    <t xml:space="preserve">     than 300 process steps or more than 50 tool types in the spreadsheet. It is possible to rename the tool types from </t>
  </si>
  <si>
    <t xml:space="preserve">     the names given in the sample data. Renaming of a tool type is allowed in the "Tool Set" table (any name change </t>
  </si>
  <si>
    <t xml:space="preserve">     in this list will be automatically updated in the "Expense Cost Calculation" and "Number of tools" spreadsheets). </t>
  </si>
  <si>
    <t xml:space="preserve">     After modifying tool type names or other input data, be sure to press "control-n" to make the changes take effect.</t>
  </si>
  <si>
    <t xml:space="preserve">7.  The "Personnel Requirements" spreadsheet presents the caculated numbers of each personnel type, for each of </t>
  </si>
  <si>
    <t xml:space="preserve">      the four alternative automation levels. One table corresponds to the case in which fractional tools are assumed </t>
  </si>
  <si>
    <t xml:space="preserve">     and the other case corresponds to the assumption of integer tools.</t>
  </si>
  <si>
    <t xml:space="preserve">8.  The "Phased Capacity" spreadsheet presents the results for each of the capacity phases. The expense related </t>
  </si>
  <si>
    <t xml:space="preserve">     cost table shows the expense in each phase. The revenue related cost table calculates the fab's real die output </t>
  </si>
  <si>
    <t xml:space="preserve">     andrevenue over product life. And the tool requirement table shows the number of tools and OEE in each phase.</t>
  </si>
  <si>
    <t xml:space="preserve">             tool and mask names appearing in the "Input Data" spreadsheet. (For convenience, these are listed at lower left.)</t>
  </si>
  <si>
    <r>
      <t xml:space="preserve">Notes: </t>
    </r>
    <r>
      <rPr>
        <sz val="10"/>
        <rFont val="Times New Roman"/>
        <family val="1"/>
      </rPr>
      <t xml:space="preserve"> Make sure that step numbers are distinct consecutive integer numbers. In column J, only use the exact </t>
    </r>
  </si>
  <si>
    <t xml:space="preserve">             The reciprocal of theoretical process time for each step is entered in column L (Wafers/hour).</t>
  </si>
  <si>
    <r>
      <t>revienues and lower costs</t>
    </r>
    <r>
      <rPr>
        <sz val="10"/>
        <color indexed="10"/>
        <rFont val="Times New Roman"/>
        <family val="1"/>
      </rPr>
      <t xml:space="preserve"> </t>
    </r>
    <r>
      <rPr>
        <sz val="10"/>
        <rFont val="Times New Roman"/>
        <family val="1"/>
      </rPr>
      <t>per wafer.</t>
    </r>
  </si>
  <si>
    <t xml:space="preserve">     qualification; total cycle time; initial revenue per die (at start of process development), and rate of revenue decline.</t>
  </si>
  <si>
    <t xml:space="preserve">     cases (fractional numbers of process tools and integer numbers of tools). It also shows the CEE and OEE factors.</t>
  </si>
  <si>
    <t>total manufacturing cycle time</t>
  </si>
  <si>
    <t xml:space="preserve"> Staffing requirements are assumed to be linear functions of the number of wafer starts and the numbers of process</t>
  </si>
  <si>
    <t xml:space="preserve"> tools, added to a certain minimum fixed staff. Space requirements also are assumed to be a linear function of the</t>
  </si>
  <si>
    <t xml:space="preserve"> numbers of the process tools and the number of wafer starts, added to a certain minimum fixed space requirement.</t>
  </si>
  <si>
    <t xml:space="preserve"> Materials consumption at each process step is assumed to be proportional to wafer throughput of that step. These</t>
  </si>
  <si>
    <t>where Cei denotes the annualized installation and purchase cost of tool type i, Lei denotes the portion of annual</t>
  </si>
  <si>
    <t xml:space="preserve"> labor cost that is proportional to the number of tools of type i (per tool), Sei denotes the annualized cost of factory</t>
  </si>
  <si>
    <t xml:space="preserve"> space per tool of type i, Ni denotes the number of tools of type i, Lw denotes the portion of total labor cost that is</t>
  </si>
  <si>
    <t xml:space="preserve"> proportional to wafer starts (per wafer start), Mw denotes the total materials and mask costs per wafer start, Sw</t>
  </si>
  <si>
    <t xml:space="preserve"> denotes the factory space cost per wafer start, Lf denotes the portion of total labor cost that is fixed, and Sf</t>
  </si>
  <si>
    <t>where Y0 is the die yield times line yield at the time of process qualification, YF is the mature die yield times line</t>
  </si>
  <si>
    <t xml:space="preserve"> yield, H is the process lifetime, RT is the duration from process qualification until mature die yield is attained,</t>
  </si>
  <si>
    <t xml:space="preserve"> life divided by the total die output.</t>
  </si>
  <si>
    <t xml:space="preserve"> and b is the yield learning rate.  The fab expense per die is calculated as the total fab expense over the process</t>
  </si>
  <si>
    <t>where R0 is the initial selling price for a 100%-yielding wafer, and a is the rate of sales price decline. Considering</t>
  </si>
  <si>
    <t xml:space="preserve"> the delays for process qualification, yield ramp and manufacturing cycle, the total revenue actually realized over</t>
  </si>
  <si>
    <t xml:space="preserve"> the process life is</t>
  </si>
  <si>
    <t>The input formats allow the user to specify up to eight phases of process life. Either the wafer starts rate in each</t>
  </si>
  <si>
    <t xml:space="preserve"> phase is pre-specified (option 1), or the wafer starts rate is calculated from the pre-specified number of tools in</t>
  </si>
  <si>
    <t xml:space="preserve"> each phase (option 2). To illustrate, suppose the process life is divided into n phases spanning the intervals</t>
  </si>
  <si>
    <t xml:space="preserve">     The user must define additional more detailed input parameters for the Expense Model in the "Process Data" </t>
  </si>
  <si>
    <t xml:space="preserve">       The calculation of fab revenues accounts for a user-specified decline of die prices over time. Delays for</t>
  </si>
  <si>
    <t>and manufacturing cycle time depress revenues obtained from the process technology over its life. Our Delay</t>
  </si>
  <si>
    <t>Cost Model expresses a die cost equivalent to the foregone revenues resulting from delays for process</t>
  </si>
  <si>
    <t>development and qualification, equipment installation and qualification, factory construction, time to ramp die</t>
  </si>
  <si>
    <t xml:space="preserve">yield, and manufacturing cycle time.  </t>
  </si>
  <si>
    <t>The important mathematical formulas also are displayed below.</t>
  </si>
  <si>
    <t>CMP_BPSG</t>
  </si>
  <si>
    <t>CMP_Oxide</t>
  </si>
  <si>
    <t>CMP_AA</t>
  </si>
  <si>
    <t>CMP_W</t>
  </si>
  <si>
    <t>CVD_Nitr/TEOS</t>
  </si>
  <si>
    <t>CVD_BPSG</t>
  </si>
  <si>
    <t>APCVD_Ox</t>
  </si>
  <si>
    <t>CVD_ILD</t>
  </si>
  <si>
    <t>CVD_TEOS/Nitride</t>
  </si>
  <si>
    <t>Oxide_STI</t>
  </si>
  <si>
    <t>CVD_Oxide</t>
  </si>
  <si>
    <t>CVD_Ti/TiN</t>
  </si>
  <si>
    <t>CVD_W</t>
  </si>
  <si>
    <t>Etch_AA</t>
  </si>
  <si>
    <t>Etch_Contact</t>
  </si>
  <si>
    <t>Etch_Mask</t>
  </si>
  <si>
    <t>Etch_Via</t>
  </si>
  <si>
    <t>Etch_PAD</t>
  </si>
  <si>
    <t>Etch_Gate</t>
  </si>
  <si>
    <t>Etch_Spacer</t>
  </si>
  <si>
    <t>Dry_Strip</t>
  </si>
  <si>
    <t>Etch_Metal</t>
  </si>
  <si>
    <t>Plasma_Strip</t>
  </si>
  <si>
    <t>Oxidation_Sac</t>
  </si>
  <si>
    <t>Oxidation</t>
  </si>
  <si>
    <t>Densification</t>
  </si>
  <si>
    <t>Oxidation_Gate</t>
  </si>
  <si>
    <t>LPCVD_Nitride</t>
  </si>
  <si>
    <t>Anneal_Metal</t>
  </si>
  <si>
    <t>Anneal/Ox</t>
  </si>
  <si>
    <t>Anneal</t>
  </si>
  <si>
    <t>LPCVD_Poly</t>
  </si>
  <si>
    <t>LPCVD_TEOS</t>
  </si>
  <si>
    <t>Implant</t>
  </si>
  <si>
    <t>Inspect_PLY</t>
  </si>
  <si>
    <t>Inspect_Visual</t>
  </si>
  <si>
    <t>Expose_Gate</t>
  </si>
  <si>
    <t>248C_Mask_8</t>
  </si>
  <si>
    <t>Expose_Contact</t>
  </si>
  <si>
    <t>248_Mask_8</t>
  </si>
  <si>
    <t>Expose_AA</t>
  </si>
  <si>
    <t>I_Mask_8</t>
  </si>
  <si>
    <t>Expose_Line</t>
  </si>
  <si>
    <t>Expose_Via</t>
  </si>
  <si>
    <t>Expose_Implant</t>
  </si>
  <si>
    <t>Iw_Mask_8</t>
  </si>
  <si>
    <t>Expose_Pad</t>
  </si>
  <si>
    <t>Meas_CD</t>
  </si>
  <si>
    <t>Meas_Film</t>
  </si>
  <si>
    <t>Meas_Overlay</t>
  </si>
  <si>
    <t>PVD_Ti/Co</t>
  </si>
  <si>
    <t>PVD_Al/Cu</t>
  </si>
  <si>
    <t>RTP_Silicide</t>
  </si>
  <si>
    <t>RTP_Anneal</t>
  </si>
  <si>
    <t>Test</t>
  </si>
  <si>
    <t>Clean_O3</t>
  </si>
  <si>
    <t>Wet_Strip Ti/Co</t>
  </si>
  <si>
    <t>Clean_Post_Strip</t>
  </si>
  <si>
    <t>Clean_Metal</t>
  </si>
  <si>
    <t>Clean_Pre_OxAn</t>
  </si>
  <si>
    <t>Wet_Strip</t>
  </si>
  <si>
    <t>#tools</t>
  </si>
  <si>
    <t>Process description</t>
  </si>
  <si>
    <t>Tool Type</t>
  </si>
  <si>
    <t>Round Up</t>
  </si>
  <si>
    <t>install</t>
  </si>
  <si>
    <t>$mm</t>
  </si>
  <si>
    <t>tool deprec(frac)</t>
  </si>
  <si>
    <t>maint(frac)</t>
  </si>
  <si>
    <t>tool deprec(integ)</t>
  </si>
  <si>
    <t>mainte(integ)</t>
  </si>
  <si>
    <t>Level of Automation</t>
  </si>
  <si>
    <t>(0,0)</t>
  </si>
  <si>
    <t>(1,1)</t>
  </si>
  <si>
    <t>(1.5,1.5)</t>
  </si>
  <si>
    <t>(2,2)</t>
  </si>
  <si>
    <t>Personnel type</t>
  </si>
  <si>
    <t>Engineer</t>
  </si>
  <si>
    <t>Fixed</t>
  </si>
  <si>
    <t>Per Wafer Start/Month</t>
  </si>
  <si>
    <t>Per Tool Type:</t>
  </si>
  <si>
    <t>Total</t>
  </si>
  <si>
    <t>Overhead</t>
  </si>
  <si>
    <t>Per wafer start/month</t>
  </si>
  <si>
    <t>Personnel</t>
  </si>
  <si>
    <t>level 0</t>
  </si>
  <si>
    <t>level 1</t>
  </si>
  <si>
    <t>level1,5</t>
  </si>
  <si>
    <t>level2</t>
  </si>
  <si>
    <t>Operator</t>
  </si>
  <si>
    <t>Supervisor</t>
  </si>
  <si>
    <t>Manger</t>
  </si>
  <si>
    <t>Techn</t>
  </si>
  <si>
    <t>Personnel Cost per wafer</t>
  </si>
  <si>
    <t>$/wafer</t>
  </si>
  <si>
    <t>Mask</t>
  </si>
  <si>
    <t>Non-manufacturing</t>
  </si>
  <si>
    <t>Cleanroom</t>
  </si>
  <si>
    <t>Direct</t>
  </si>
  <si>
    <t>Indirect</t>
  </si>
  <si>
    <t>Tool Depreciation</t>
  </si>
  <si>
    <t>Tool Maintenance</t>
  </si>
  <si>
    <t>Tool Leasing</t>
  </si>
  <si>
    <t>Direct Personnel</t>
  </si>
  <si>
    <t>Indirect Personnel</t>
  </si>
  <si>
    <t>Direct Space</t>
  </si>
  <si>
    <t>Indirect Space</t>
  </si>
  <si>
    <t>Direct Material</t>
  </si>
  <si>
    <t>Indirect Material</t>
  </si>
  <si>
    <t>Cost Centers</t>
  </si>
  <si>
    <t>Facilities</t>
  </si>
  <si>
    <t>CIM System</t>
  </si>
  <si>
    <t>Control Units</t>
  </si>
  <si>
    <t>Total Cost</t>
  </si>
  <si>
    <t>Cost per Wafer</t>
  </si>
  <si>
    <t>Cost Components</t>
  </si>
  <si>
    <t>Levels of Automation(using fractional tools)</t>
  </si>
  <si>
    <t>Levels of Automation(using Integer tools)</t>
  </si>
  <si>
    <t>Cost per unit of equipment</t>
  </si>
  <si>
    <t>fractional</t>
  </si>
  <si>
    <t>Cost per type of tool</t>
  </si>
  <si>
    <t>Fractional</t>
  </si>
  <si>
    <t>Integer</t>
  </si>
  <si>
    <t>Number of Personnel (fractional tools)</t>
  </si>
  <si>
    <t>Total Number of Engineer/Technicians</t>
  </si>
  <si>
    <t>Number of Personnel (integer tools)</t>
  </si>
  <si>
    <t>Total Number</t>
  </si>
  <si>
    <t>Level (0,0)</t>
  </si>
  <si>
    <t>Level (1,1)</t>
  </si>
  <si>
    <t>Level (1.5,1.5)</t>
  </si>
  <si>
    <t>Level (2,2)</t>
  </si>
  <si>
    <t>Personnel Type</t>
  </si>
  <si>
    <t>Number of Personnel by type (fractional tools)</t>
  </si>
  <si>
    <t>Number of Personnel by type (Integer tools)</t>
  </si>
  <si>
    <t>Rounding up the Number of personnel (fractional tools)</t>
  </si>
  <si>
    <t>Rounding up the Number of personnel (integer tools)</t>
  </si>
  <si>
    <t>Annual Cost per Personnel Type</t>
  </si>
  <si>
    <t>Salary</t>
  </si>
  <si>
    <t>Total Direct</t>
  </si>
  <si>
    <t>Total Indirect</t>
  </si>
  <si>
    <t>Total Personnel</t>
  </si>
  <si>
    <t>Fractional Tools</t>
  </si>
  <si>
    <t>Integer Tools</t>
  </si>
  <si>
    <t>Equipment Cost per Wafer</t>
  </si>
  <si>
    <t>tool depreciation</t>
  </si>
  <si>
    <t>tool maintenance</t>
  </si>
  <si>
    <t xml:space="preserve">Fixed </t>
  </si>
  <si>
    <t>Per wafer</t>
  </si>
  <si>
    <t>Per Tool</t>
  </si>
  <si>
    <t>Non-manufacturing (sq. ft.)</t>
  </si>
  <si>
    <t>Cleanroom(sq.ft.)</t>
  </si>
  <si>
    <t>non-cleanroom(sq.ft.)</t>
  </si>
  <si>
    <t>Space Costs</t>
  </si>
  <si>
    <t>Non-cleanroom</t>
  </si>
  <si>
    <t>Space in sq.ft.</t>
  </si>
  <si>
    <t>Coeff for annual space cost</t>
  </si>
  <si>
    <t>Annual Space Cost (fractional Tools)</t>
  </si>
  <si>
    <t>Total Annual Space Cost (fractional tools)</t>
  </si>
  <si>
    <t>Total Annual Space Cost (integer tools)</t>
  </si>
  <si>
    <t>Space Cost per Wafer</t>
  </si>
  <si>
    <t>Total Space Cost</t>
  </si>
  <si>
    <t>Integer tools</t>
  </si>
  <si>
    <t>Total material a month</t>
  </si>
  <si>
    <t>Material Cost per Wafer</t>
  </si>
  <si>
    <t xml:space="preserve">Indirect </t>
  </si>
  <si>
    <t>Wafer</t>
  </si>
  <si>
    <t>Life Exp(wafers)</t>
  </si>
  <si>
    <t>total</t>
  </si>
  <si>
    <t>Description</t>
  </si>
  <si>
    <t>Input Variable</t>
  </si>
  <si>
    <t>Value</t>
  </si>
  <si>
    <t>TD=</t>
  </si>
  <si>
    <t>YF</t>
  </si>
  <si>
    <t>Y0</t>
  </si>
  <si>
    <t>TDC=</t>
  </si>
  <si>
    <t>H</t>
  </si>
  <si>
    <t>RT</t>
  </si>
  <si>
    <t>b</t>
  </si>
  <si>
    <t>R0</t>
  </si>
  <si>
    <t xml:space="preserve">a </t>
  </si>
  <si>
    <t>VT</t>
  </si>
  <si>
    <t>CT</t>
  </si>
  <si>
    <t xml:space="preserve">D </t>
  </si>
  <si>
    <t>EPY=</t>
  </si>
  <si>
    <t>EPD=</t>
  </si>
  <si>
    <t>TCPD=</t>
  </si>
  <si>
    <t>Expense Cost per Die</t>
  </si>
  <si>
    <t>Delay Cost per Die</t>
  </si>
  <si>
    <t>TOTAL COST PER DIE</t>
  </si>
  <si>
    <t>Automation Level</t>
  </si>
  <si>
    <t>Total die produced over the factory life</t>
  </si>
  <si>
    <t>Mature Yield</t>
  </si>
  <si>
    <t>Initial Yield</t>
  </si>
  <si>
    <t>Factory Life (days)</t>
  </si>
  <si>
    <t>Initial Revenue</t>
  </si>
  <si>
    <t>designed die output capacity (per monthly period) at mature die yield, expressed in units of equivalent 100%-yielding wafers.</t>
  </si>
  <si>
    <t>learning curve factor</t>
  </si>
  <si>
    <t>Expense Cost per wafer(worksheet "ExpenseCost")</t>
  </si>
  <si>
    <t>discount factor per day</t>
  </si>
  <si>
    <t>Yield learning rate *</t>
  </si>
  <si>
    <t>discount factor per year**</t>
  </si>
  <si>
    <t>Wafer starts per month (W)</t>
  </si>
  <si>
    <t>Line Yield (LY)</t>
  </si>
  <si>
    <t>Mask Type</t>
  </si>
  <si>
    <t>Annual Salary</t>
  </si>
  <si>
    <t>Manager</t>
  </si>
  <si>
    <t>Technicians</t>
  </si>
  <si>
    <t>OEE</t>
  </si>
  <si>
    <t>Life expectancy (years)</t>
  </si>
  <si>
    <t>Construction ($)</t>
  </si>
  <si>
    <t>space/person (sq.ft.)</t>
  </si>
  <si>
    <t>Number of process steps (J)</t>
  </si>
  <si>
    <t xml:space="preserve">Input data </t>
  </si>
  <si>
    <t>DCPD=</t>
  </si>
  <si>
    <t>fractional tools</t>
  </si>
  <si>
    <t>University of California at Berkeley</t>
  </si>
  <si>
    <t>Competitive Semiconductor Manufacturing (CSM) Program</t>
  </si>
  <si>
    <t>Introduction</t>
  </si>
  <si>
    <t xml:space="preserve">1-OEE  </t>
  </si>
  <si>
    <t>tool life</t>
  </si>
  <si>
    <t>Tool Set</t>
  </si>
  <si>
    <t>Equipment Cost per wafer</t>
  </si>
  <si>
    <t>Personnel Coefficients</t>
  </si>
  <si>
    <t>Expense-Related Costs</t>
  </si>
  <si>
    <t>Personnel Requirement</t>
  </si>
  <si>
    <t>Tool Requirement</t>
  </si>
  <si>
    <t>http://euler.berkeley.edu/esrc/csm/csmreports.html</t>
  </si>
  <si>
    <t>Automation Levels</t>
  </si>
  <si>
    <t>level (0,0)</t>
  </si>
  <si>
    <t>level (1,1)</t>
  </si>
  <si>
    <t>level (1.5,1.5)</t>
  </si>
  <si>
    <t>level (2,2)</t>
  </si>
  <si>
    <t xml:space="preserve">     We classify automation into two major types, material handling automation (MHA) and information handling </t>
  </si>
  <si>
    <r>
      <t xml:space="preserve"> </t>
    </r>
    <r>
      <rPr>
        <b/>
        <u val="single"/>
        <sz val="10"/>
        <rFont val="Times New Roman"/>
        <family val="1"/>
      </rPr>
      <t>MHA Level</t>
    </r>
  </si>
  <si>
    <t>None</t>
  </si>
  <si>
    <t>Interbay rail system only</t>
  </si>
  <si>
    <t>Interbay system plus AGVs in photolithography and diffusion areas</t>
  </si>
  <si>
    <t>Interbay system plus AGVs in all areas</t>
  </si>
  <si>
    <r>
      <t>IHA Level</t>
    </r>
  </si>
  <si>
    <t>100% auto track-in/track-out, 100% auto lot and machine selection</t>
  </si>
  <si>
    <t>Default value</t>
  </si>
  <si>
    <t>General Variable</t>
  </si>
  <si>
    <t>100%  auto recipe download</t>
  </si>
  <si>
    <t>100%  auto recipe download and 100% auto metrology upload</t>
  </si>
  <si>
    <t xml:space="preserve">100%  auto recipe download, 100% auto metrology upload, </t>
  </si>
  <si>
    <r>
      <t xml:space="preserve">Purchase Cost </t>
    </r>
    <r>
      <rPr>
        <u val="single"/>
        <sz val="10"/>
        <rFont val="Times New Roman"/>
        <family val="1"/>
      </rPr>
      <t>($/unit)</t>
    </r>
  </si>
  <si>
    <t>Default Value</t>
  </si>
  <si>
    <t>Space/person (sq.ft.)</t>
  </si>
  <si>
    <t>Space/tool (sq.ft.)</t>
  </si>
  <si>
    <t>Additional tools ($mm)</t>
  </si>
  <si>
    <t>Installation ($mm)</t>
  </si>
  <si>
    <t xml:space="preserve">**NOTE: The discount factor per year indicates how fast the revenue per wafer is decreasing.  For example, </t>
  </si>
  <si>
    <t xml:space="preserve">                  if R0=10,000 and the discount factor is 0.25, then the revenue per wafer after one year is 7,500.</t>
  </si>
  <si>
    <t xml:space="preserve">* NOTE:  The yield learning rate is the fraction of the total yield improvement completed halfway through the ramp. </t>
  </si>
  <si>
    <t xml:space="preserve">                  For example, 0.67 means that 2/3 of the yield improvement is completed in time 0.5 RT.</t>
  </si>
  <si>
    <t>Ramp time (days)</t>
  </si>
  <si>
    <t xml:space="preserve">      and provides the formulae used in the calculations. </t>
  </si>
  <si>
    <t xml:space="preserve">     Material handling automation refers to wafer and reticle movement, both within processing bays, as well as</t>
  </si>
  <si>
    <t xml:space="preserve"> between bays. The four possible levels of MHA are as follows.</t>
  </si>
  <si>
    <t>SEMATECH's CRM dataset for a 0.25um logic process as well as from data collected by the CSM program.</t>
  </si>
  <si>
    <t xml:space="preserve">     The default values for the input variables considered in the calculation of fab expenses were taken from </t>
  </si>
  <si>
    <t>Blank wafer cost ($)</t>
  </si>
  <si>
    <t>Factory Space</t>
  </si>
  <si>
    <t>various (see "Input Data" spreadsheet)</t>
  </si>
  <si>
    <t>Delay-Related Cost Parameters</t>
  </si>
  <si>
    <t>Fab Expense Parameters</t>
  </si>
  <si>
    <t>results to/from processing equipment. The four levels of IHA evaluated here are as follows.</t>
  </si>
  <si>
    <t>Fab expenses are automatically computed for the automation levels (0, 0), (1, 1), (1.5, 1.5) and (2, 2).</t>
  </si>
  <si>
    <t>Annual Salary ($)</t>
  </si>
  <si>
    <t>Maintenance ($mm/year)</t>
  </si>
  <si>
    <t>Cost Model Formulae</t>
  </si>
  <si>
    <t>Fab Expense Inputs</t>
  </si>
  <si>
    <t>Delay Cost Inputs</t>
  </si>
  <si>
    <t>$mm/yr</t>
  </si>
  <si>
    <t xml:space="preserve">purchase </t>
  </si>
  <si>
    <t>partial cost total</t>
  </si>
  <si>
    <t>Purchase ($mm)</t>
  </si>
  <si>
    <t>Macros:</t>
  </si>
  <si>
    <t xml:space="preserve">NOTE: 30 working days per month and 360 working days </t>
  </si>
  <si>
    <t xml:space="preserve">               per year are fixed in this spreadsheet.</t>
  </si>
  <si>
    <t xml:space="preserve">4.  The "Expense Cost Calculation" spreadsheet contains the model that calculates the fab expense per wafer.  This </t>
  </si>
  <si>
    <t xml:space="preserve">     This workbook is organized into seven spreadsheets to facilitate data input and visualization of results:  </t>
  </si>
  <si>
    <t>1.  The "Introduction" spreadsheet briefly explains these cost models, summarizes the required input data</t>
  </si>
  <si>
    <t xml:space="preserve">automation (IHA).  Possible combinations of information and material handling automation are indicated </t>
  </si>
  <si>
    <t>as an ordered pair (MHA,IHA) with values as defined below.</t>
  </si>
  <si>
    <t>Construction cost ($ per sq. ft.)</t>
  </si>
  <si>
    <t>Annual occupancy cost ($ per sq. ft.)</t>
  </si>
  <si>
    <t>These default values are summarized below.</t>
  </si>
  <si>
    <r>
      <t xml:space="preserve">Life </t>
    </r>
    <r>
      <rPr>
        <u val="single"/>
        <sz val="10"/>
        <rFont val="Times New Roman"/>
        <family val="1"/>
      </rPr>
      <t>(wafer passes)</t>
    </r>
  </si>
  <si>
    <t xml:space="preserve">     spreadsheet uses the data in the "Input Data" spreadsheet and process data in the '"Process" spreadsheet.</t>
  </si>
  <si>
    <t>Overhead staff</t>
  </si>
  <si>
    <t>Overhead Staff</t>
  </si>
  <si>
    <t xml:space="preserve">     After modifying data in this spreadhseet, press "control-u" to update calculations of required numbers of tools.  </t>
  </si>
  <si>
    <t xml:space="preserve">     Cells shaded in 'blue' provide partial cost totals.</t>
  </si>
  <si>
    <t>From "Input data" spreadsheet</t>
  </si>
  <si>
    <t xml:space="preserve">Tool Name  </t>
  </si>
  <si>
    <t>Mask Name</t>
  </si>
  <si>
    <t>Mask cost/mo</t>
  </si>
  <si>
    <t>Direct material/mo</t>
  </si>
  <si>
    <t>Indirect material/mo</t>
  </si>
  <si>
    <t>Mask cost/pass</t>
  </si>
  <si>
    <t>Direct material ($/pass)</t>
  </si>
  <si>
    <t>Indirect Material ($/pass)</t>
  </si>
  <si>
    <t>Process Data</t>
  </si>
  <si>
    <t>step number</t>
  </si>
  <si>
    <t>Step number</t>
  </si>
  <si>
    <t>Tool type</t>
  </si>
  <si>
    <t>Mask type</t>
  </si>
  <si>
    <t>Wafers/hour</t>
  </si>
  <si>
    <t>Indirect material ($ per wafer pass)</t>
  </si>
  <si>
    <t>Direct material ($ per wafer pass)</t>
  </si>
  <si>
    <t>created by SEMATECH. This is a 19 mask, 5 metal</t>
  </si>
  <si>
    <t xml:space="preserve">process for logic devices with 250nm design rule </t>
  </si>
  <si>
    <t xml:space="preserve">fabricated on 8-inch wafers. User may enter a different </t>
  </si>
  <si>
    <t>Tool_type</t>
  </si>
  <si>
    <t>Process ID :250_Al_82</t>
  </si>
  <si>
    <t>Default process is the "250_Al_82" process flow</t>
  </si>
  <si>
    <t>To sort by Tool Name: ctrl-r</t>
  </si>
  <si>
    <t>To sort by step: ctrl-f</t>
  </si>
  <si>
    <t xml:space="preserve">CMP_Ins(C) </t>
  </si>
  <si>
    <t>CMP_Ins(I)</t>
  </si>
  <si>
    <t>CMP_Ins</t>
  </si>
  <si>
    <t>CMP_Met</t>
  </si>
  <si>
    <t xml:space="preserve">CVD_Ins(C) </t>
  </si>
  <si>
    <t>CVD_Ins(I)</t>
  </si>
  <si>
    <t>CVD_Ins</t>
  </si>
  <si>
    <t>CVD_Ins_Thin</t>
  </si>
  <si>
    <t xml:space="preserve">CVD_Met(C) </t>
  </si>
  <si>
    <t>CVD_Met</t>
  </si>
  <si>
    <t xml:space="preserve">CVD_MetW(C) </t>
  </si>
  <si>
    <t>CVD_MetW</t>
  </si>
  <si>
    <t>Dry_Etch(A)</t>
  </si>
  <si>
    <t xml:space="preserve">Dry_Etch(C) </t>
  </si>
  <si>
    <t>Dry_Etch(I)</t>
  </si>
  <si>
    <t>Dry_Etch</t>
  </si>
  <si>
    <t>Dry_Etch_Met</t>
  </si>
  <si>
    <t>Dry_Strip(D)</t>
  </si>
  <si>
    <t>Dry_Strip(I)</t>
  </si>
  <si>
    <t>Furn_FastRmp</t>
  </si>
  <si>
    <t>Furn_Nitr</t>
  </si>
  <si>
    <t>Furn_OxAn(I)</t>
  </si>
  <si>
    <t>Furn_OxAn</t>
  </si>
  <si>
    <t>Furn_Poly</t>
  </si>
  <si>
    <t>Furn_TEOS</t>
  </si>
  <si>
    <t>Implant_HiE</t>
  </si>
  <si>
    <t>Implant_LoE</t>
  </si>
  <si>
    <t>Insp_PLY</t>
  </si>
  <si>
    <t>Insp_Visual</t>
  </si>
  <si>
    <t>Litho_248</t>
  </si>
  <si>
    <t>Litho_I</t>
  </si>
  <si>
    <t>Litho_Iw</t>
  </si>
  <si>
    <t xml:space="preserve">PVD_Met(C) </t>
  </si>
  <si>
    <t>PVD_Met</t>
  </si>
  <si>
    <t xml:space="preserve">RTP_OxAn(C) </t>
  </si>
  <si>
    <t>VP_HF_Clean</t>
  </si>
  <si>
    <t>Wet_Bench(I)</t>
  </si>
  <si>
    <t>Wet_Bench</t>
  </si>
  <si>
    <t>Default values</t>
  </si>
  <si>
    <t>DO NOT SORT THIS TABLE</t>
  </si>
  <si>
    <t>248_Mask</t>
  </si>
  <si>
    <t>248C_Mask</t>
  </si>
  <si>
    <t>Iw_Mask</t>
  </si>
  <si>
    <t>I_Mask</t>
  </si>
  <si>
    <t xml:space="preserve"> </t>
  </si>
  <si>
    <t>FINAL RESULT</t>
  </si>
  <si>
    <t>EPW=</t>
  </si>
  <si>
    <t>Revenue Over Life</t>
  </si>
  <si>
    <t>Revenue per Wafer</t>
  </si>
  <si>
    <t>DCPD</t>
  </si>
  <si>
    <t>Revenue</t>
  </si>
  <si>
    <t>Output</t>
  </si>
  <si>
    <t>Phase Start Date</t>
  </si>
  <si>
    <t>Sum</t>
  </si>
  <si>
    <t>Capacity</t>
  </si>
  <si>
    <t>Revenue-Related Costs</t>
  </si>
  <si>
    <t>Phase 3</t>
  </si>
  <si>
    <t>Phase 4</t>
  </si>
  <si>
    <t>Phase 5</t>
  </si>
  <si>
    <t>Phase 6</t>
  </si>
  <si>
    <t>Phase 7</t>
  </si>
  <si>
    <t>Phase InPut</t>
  </si>
  <si>
    <t>Ideal Revenue</t>
  </si>
  <si>
    <t>manufacturing cycle time</t>
  </si>
  <si>
    <t>CEE</t>
  </si>
  <si>
    <t>1-CEE</t>
  </si>
  <si>
    <t xml:space="preserve">   Phase Number   </t>
  </si>
  <si>
    <t>Click to Run</t>
  </si>
  <si>
    <t>tool</t>
  </si>
  <si>
    <t xml:space="preserve"> Phase 1</t>
  </si>
  <si>
    <t>TO DO:</t>
  </si>
  <si>
    <r>
      <t>DO NOT SORT THIS TABLE</t>
    </r>
    <r>
      <rPr>
        <sz val="10"/>
        <rFont val="Times New Roman"/>
        <family val="1"/>
      </rPr>
      <t>.</t>
    </r>
  </si>
  <si>
    <t>Total Delay Cost</t>
  </si>
  <si>
    <t>Delay Cost Per Die</t>
  </si>
  <si>
    <t>Purch cost ($/unit)</t>
  </si>
  <si>
    <t>Life (years)</t>
  </si>
  <si>
    <t>Occupancy cost ($/yr)</t>
  </si>
  <si>
    <t>process dev &amp; qual (days)***</t>
  </si>
  <si>
    <t>maintce</t>
  </si>
  <si>
    <t>Space consumed per tool</t>
  </si>
  <si>
    <t>Tool quantities</t>
  </si>
  <si>
    <t>in table at immediate right</t>
  </si>
  <si>
    <r>
      <t>Please change data only in the cells shaded this color</t>
    </r>
    <r>
      <rPr>
        <sz val="10"/>
        <rFont val="Times New Roman"/>
        <family val="1"/>
      </rPr>
      <t>.</t>
    </r>
  </si>
  <si>
    <t xml:space="preserve">             Please change input data only in the cells shaded this color.</t>
  </si>
  <si>
    <t>LY</t>
  </si>
  <si>
    <t>WS</t>
  </si>
  <si>
    <t>Quantity</t>
  </si>
  <si>
    <t>add'l tools</t>
  </si>
  <si>
    <t>Fixed eqpt counts, unlimited market:</t>
  </si>
  <si>
    <t>Phase No.</t>
  </si>
  <si>
    <t>Wafer start rate</t>
  </si>
  <si>
    <t>Start time</t>
  </si>
  <si>
    <t>Fill in Start times and Wafer start rates above</t>
  </si>
  <si>
    <t>Fill in CEEs in each phase</t>
  </si>
  <si>
    <t>Fill in CEEs and tool quantities in each pahse</t>
  </si>
  <si>
    <t>Tool Costs and Space Requirements</t>
  </si>
  <si>
    <t>DO NOT RESORT THIS TABLE. ALSO, PHASES MUST MATCH THOSE IN THE TABLE AT LEFT.</t>
  </si>
  <si>
    <t>Fixed wafer starts, variable eqpt counts:</t>
  </si>
  <si>
    <t>Calculation Type</t>
  </si>
  <si>
    <t>Fill in Start times above (Wafer start rates will be overwritten by calculation)</t>
  </si>
  <si>
    <t xml:space="preserve">                   and qualification, factory construction, equipment installation and qualification.</t>
  </si>
  <si>
    <t>Spreadsheet Models for Fab Economic Analysis</t>
  </si>
  <si>
    <t>Prepared by: Robert C. Leachman, Shengwei Ding and Nancy S. Sato-Misawa</t>
  </si>
  <si>
    <t>Derived Variables</t>
  </si>
  <si>
    <t xml:space="preserve">                   For example, 0.67 means that 2/3 of the yield improvement is completed at time 0.5 RT.</t>
  </si>
  <si>
    <t xml:space="preserve">       This Excel workbook provides spreadsheet models for calculating revenues and costs of wafer fabrication.</t>
  </si>
  <si>
    <t xml:space="preserve">compute costs and revenues for one of two basic cases: (1) wafer start volumes are pre-specified over time, </t>
  </si>
  <si>
    <t>This model accounts for expenses of fab construction and operation. In order to compute wafer and die costs,</t>
  </si>
  <si>
    <t>all wafers and die produced over the life of the technology are burdened equally with capital expenses.</t>
  </si>
  <si>
    <t xml:space="preserve">Manufacturing (CSM) Program Report "Understanding Fab Economics", CSM-47, authored by Robert C. </t>
  </si>
  <si>
    <t>Leachman, John Plummer and Nancy Sato-Misawa. This report may be ordered at</t>
  </si>
  <si>
    <t xml:space="preserve">        These models are explained in detail for the static wafer-starts case in the Competitive Semiconductor </t>
  </si>
  <si>
    <t>qualified, changes in the time to ramp up die yield, and changes in manufacturing cycle time. Cash flows</t>
  </si>
  <si>
    <t xml:space="preserve">The intent is to provide the engineering analyst with the means to evaluate the economic impacts of </t>
  </si>
  <si>
    <t xml:space="preserve">changes to process and equipment, changes in the timing of when process or equipment are installed and </t>
  </si>
  <si>
    <t xml:space="preserve">       At present, the models assume the fabrication line operates a single process technology consisting</t>
  </si>
  <si>
    <t>of up to 300 major process steps utilizing up to 50 major types of process equipment. The user may</t>
  </si>
  <si>
    <t xml:space="preserve">        The calculation of fab expenses uses an enhanced version of SEMATECH's Cost-Resource Model (CRM).</t>
  </si>
  <si>
    <t xml:space="preserve">Important differences compared to CRM include (1) staffing costs are computed for varying levels of fab </t>
  </si>
  <si>
    <t>availability as is traditionally done using CRM.</t>
  </si>
  <si>
    <t>Wafer start rates (wafers per month)</t>
  </si>
  <si>
    <t>Tool CEE and Tool Quantities by Phase of Wafer Starts</t>
  </si>
  <si>
    <t xml:space="preserve">  </t>
  </si>
  <si>
    <t>rates and capability for equipment efficiency (CEE), rather than average throughput rates and equipment</t>
  </si>
  <si>
    <t xml:space="preserve">5.  The "Total Cost" spreadsheet summarizes the results of cost and revenue calculations.   First it presents </t>
  </si>
  <si>
    <t xml:space="preserve">     a table of cost components (fab expenses) for four possible levels of automation and for two calculation</t>
  </si>
  <si>
    <t xml:space="preserve">     assumptions (fractional and integer numbers of tools).  Below this table is shown the number of die</t>
  </si>
  <si>
    <t xml:space="preserve">     produced over the life of  the factory (TD). This is used to calculate the Expense Cost per die and the</t>
  </si>
  <si>
    <t xml:space="preserve">      Delay Cost per die which are shown next.  Finally, the Total Cost per die (the sum of these two costs) is shown.</t>
  </si>
  <si>
    <t>Cycle Time</t>
  </si>
  <si>
    <t xml:space="preserve">for both expenditures and revenues from fabrication are computed. </t>
  </si>
  <si>
    <t>or (2) equipment counts are pre-specified over time. In case (1), higher equipment efficiencies or reduced</t>
  </si>
  <si>
    <t>process times result in reduced investment in equipment and facilities to accommodate the pre-specified</t>
  </si>
  <si>
    <t>wafer starts. Higher yields in this case result in reduced investment costs as well as higher revenues for</t>
  </si>
  <si>
    <t>the given wafer start volumes. In case (2), higher equipment efficiencies or reduced process times result in</t>
  </si>
  <si>
    <t xml:space="preserve">automation, and (2) equipment performance is defined by the user in terms of theoretical throughput </t>
  </si>
  <si>
    <t>fab construction, process development and qualification, equipment installation and qualification, yield ramp,</t>
  </si>
  <si>
    <t xml:space="preserve">     masks, staff and space; space consumption by equipment and staff; equipment efficiencies and lifetimes;</t>
  </si>
  <si>
    <t xml:space="preserve">     spreadsheet (discussed below). </t>
  </si>
  <si>
    <t>6.  The "Number of Tools" spreadsheet presents a table of the calculated number of tools per type, for the two</t>
  </si>
  <si>
    <t xml:space="preserve">     Information handling automation involves automation of the download of processing instructions and upload </t>
  </si>
  <si>
    <t>At present, capital and maintenance expenses for automation are excluded from cost calculations.</t>
  </si>
  <si>
    <t>Note: CEE (capability for equipment</t>
  </si>
  <si>
    <t>equipment if it is the bottleneck.</t>
  </si>
  <si>
    <t>efficiency) is the OEE of the</t>
  </si>
  <si>
    <t>The OEE will be less when some</t>
  </si>
  <si>
    <t>Summary of Sample Input Data</t>
  </si>
  <si>
    <t>duration until process is qualified</t>
  </si>
  <si>
    <t>and salable wafer starts begin (days)</t>
  </si>
  <si>
    <t>Yield ramp time (days)</t>
  </si>
  <si>
    <t>or due to rounding to integer tools.</t>
  </si>
  <si>
    <t>other equipment is the bottleneck</t>
  </si>
  <si>
    <t>process that uses the same or fewer steps and tool types.</t>
  </si>
  <si>
    <t>Expense Over Life</t>
  </si>
  <si>
    <t>Fractional tools</t>
  </si>
  <si>
    <t>Revenue per Die</t>
  </si>
  <si>
    <t>Cost model formulas</t>
  </si>
  <si>
    <t>Number of process tools</t>
  </si>
  <si>
    <t>Number of wafer starts</t>
  </si>
  <si>
    <r>
      <t xml:space="preserve">where </t>
    </r>
    <r>
      <rPr>
        <i/>
        <sz val="10"/>
        <rFont val="Times New Roman"/>
        <family val="1"/>
      </rPr>
      <t>ThPT</t>
    </r>
    <r>
      <rPr>
        <i/>
        <vertAlign val="subscript"/>
        <sz val="10"/>
        <rFont val="Times New Roman"/>
        <family val="1"/>
      </rPr>
      <t>j</t>
    </r>
    <r>
      <rPr>
        <sz val="10"/>
        <rFont val="Times New Roman"/>
        <family val="1"/>
      </rPr>
      <t xml:space="preserve"> is the theoretical process time per wafer for step </t>
    </r>
    <r>
      <rPr>
        <i/>
        <sz val="10"/>
        <rFont val="Times New Roman"/>
        <family val="1"/>
      </rPr>
      <t>j</t>
    </r>
    <r>
      <rPr>
        <sz val="10"/>
        <rFont val="Times New Roman"/>
        <family val="1"/>
      </rPr>
      <t xml:space="preserve"> (i.e., the reciprocal of </t>
    </r>
    <r>
      <rPr>
        <i/>
        <sz val="10"/>
        <rFont val="Times New Roman"/>
        <family val="1"/>
      </rPr>
      <t>UPH</t>
    </r>
    <r>
      <rPr>
        <i/>
        <vertAlign val="subscript"/>
        <sz val="10"/>
        <rFont val="Times New Roman"/>
        <family val="1"/>
      </rPr>
      <t>j</t>
    </r>
    <r>
      <rPr>
        <sz val="10"/>
        <rFont val="Times New Roman"/>
        <family val="1"/>
      </rPr>
      <t>).</t>
    </r>
  </si>
  <si>
    <t>Fab expense</t>
  </si>
  <si>
    <t>The total fab expense per year is calculated as</t>
  </si>
  <si>
    <t>Revenues and delay costs</t>
  </si>
  <si>
    <t>The ideal revenue realized over the process life is calculated in the case of constant wafer starts as</t>
  </si>
  <si>
    <r>
      <t xml:space="preserve">where </t>
    </r>
    <r>
      <rPr>
        <i/>
        <sz val="10"/>
        <rFont val="Times New Roman"/>
        <family val="1"/>
      </rPr>
      <t>VT</t>
    </r>
    <r>
      <rPr>
        <sz val="10"/>
        <rFont val="Times New Roman"/>
        <family val="1"/>
      </rPr>
      <t xml:space="preserve"> is the duration until salable wafer starts commence and </t>
    </r>
    <r>
      <rPr>
        <i/>
        <sz val="10"/>
        <rFont val="Times New Roman"/>
        <family val="1"/>
      </rPr>
      <t>CT</t>
    </r>
    <r>
      <rPr>
        <sz val="10"/>
        <rFont val="Times New Roman"/>
        <family val="1"/>
      </rPr>
      <t xml:space="preserve"> is the manufacturing cycle time.</t>
    </r>
  </si>
  <si>
    <t>The total delay cost is computed as</t>
  </si>
  <si>
    <t>Extension to time-varying wafer starts</t>
  </si>
  <si>
    <r>
      <t xml:space="preserve">In option 2 (fixed equipment set), the number of process tools of type </t>
    </r>
    <r>
      <rPr>
        <i/>
        <sz val="10"/>
        <rFont val="Times New Roman"/>
        <family val="1"/>
      </rPr>
      <t>i</t>
    </r>
    <r>
      <rPr>
        <sz val="10"/>
        <rFont val="Times New Roman"/>
        <family val="1"/>
      </rPr>
      <t xml:space="preserve">, </t>
    </r>
    <r>
      <rPr>
        <i/>
        <sz val="10"/>
        <rFont val="Times New Roman"/>
        <family val="1"/>
      </rPr>
      <t>N</t>
    </r>
    <r>
      <rPr>
        <i/>
        <vertAlign val="subscript"/>
        <sz val="10"/>
        <rFont val="Times New Roman"/>
        <family val="1"/>
      </rPr>
      <t>i</t>
    </r>
    <r>
      <rPr>
        <sz val="10"/>
        <rFont val="Times New Roman"/>
        <family val="1"/>
      </rPr>
      <t>, is pre-specified. In option 1 (fixed wafer</t>
    </r>
  </si>
  <si>
    <t xml:space="preserve"> starts), Ni is computed from the given wafer starts as follows:</t>
  </si>
  <si>
    <t xml:space="preserve">   is performed using equipment type i, UPHj is the theoretical wafers-per-hour processing rate for step j, and CEEi is</t>
  </si>
  <si>
    <t xml:space="preserve">   the capability for equipment efficiency of tool type i. In the case that the integer tools options is specified, </t>
  </si>
  <si>
    <t xml:space="preserve">   the expression for Ni is rounded up to an integer.</t>
  </si>
  <si>
    <r>
      <t xml:space="preserve">where </t>
    </r>
    <r>
      <rPr>
        <i/>
        <sz val="10"/>
        <rFont val="Times New Roman"/>
        <family val="1"/>
      </rPr>
      <t>W</t>
    </r>
    <r>
      <rPr>
        <sz val="10"/>
        <rFont val="Times New Roman"/>
        <family val="1"/>
      </rPr>
      <t xml:space="preserve"> is the given wafer starts per month, </t>
    </r>
    <r>
      <rPr>
        <i/>
        <sz val="10"/>
        <rFont val="Times New Roman"/>
        <family val="1"/>
      </rPr>
      <t>LY</t>
    </r>
    <r>
      <rPr>
        <sz val="10"/>
        <rFont val="Times New Roman"/>
        <family val="1"/>
      </rPr>
      <t xml:space="preserve"> is the line yield of the process flow, </t>
    </r>
    <r>
      <rPr>
        <i/>
        <sz val="10"/>
        <rFont val="Times New Roman"/>
        <family val="1"/>
      </rPr>
      <t>j</t>
    </r>
    <r>
      <rPr>
        <sz val="10"/>
        <rFont val="Times New Roman"/>
        <family val="1"/>
      </rPr>
      <t>e</t>
    </r>
    <r>
      <rPr>
        <i/>
        <sz val="10"/>
        <rFont val="Times New Roman"/>
        <family val="1"/>
      </rPr>
      <t>i</t>
    </r>
    <r>
      <rPr>
        <sz val="10"/>
        <rFont val="Times New Roman"/>
        <family val="1"/>
      </rPr>
      <t xml:space="preserve"> denotes that process step </t>
    </r>
    <r>
      <rPr>
        <i/>
        <sz val="10"/>
        <rFont val="Times New Roman"/>
        <family val="1"/>
      </rPr>
      <t>j</t>
    </r>
  </si>
  <si>
    <t xml:space="preserve">In option 1, the number of wafer starts per 30-day month is pre-specified by the user for each phase. In option 2, </t>
  </si>
  <si>
    <t xml:space="preserve">   the number of wafer starts is calculated from the pre-specified numbers of tools as follows:</t>
  </si>
  <si>
    <t>Fab expenses are calculated in terms of four basic expense pools: process tools, staff, factory space, and materials.</t>
  </si>
  <si>
    <r>
      <t xml:space="preserve"> </t>
    </r>
    <r>
      <rPr>
        <sz val="10"/>
        <rFont val="Times New Roman"/>
        <family val="1"/>
      </rPr>
      <t>The total die output over the process life in the case of constant wafer starts is calculated as</t>
    </r>
  </si>
  <si>
    <t xml:space="preserve"> denotes the portion of total space cost that is fixed. In the case that wafer starts are held constant at rate W per</t>
  </si>
  <si>
    <t xml:space="preserve"> month, the fab expense per wafer, EPW, is calculated by dividing EPY by 12W.</t>
  </si>
  <si>
    <t>higher wafer throughput for the given equipment set and hence both higher revenues and lower costs per</t>
  </si>
  <si>
    <t xml:space="preserve">wafer. Higher yields in this case result in higher die throughput for the given equipment set and both higher </t>
  </si>
  <si>
    <t>Fixed wafer starts case only</t>
  </si>
  <si>
    <t xml:space="preserve">     wafer start rates or tool counts; yields and yield ramp times; process lifetime; factory life; time until process </t>
  </si>
  <si>
    <t xml:space="preserve"> Phase 2</t>
  </si>
  <si>
    <t>Phase 8</t>
  </si>
  <si>
    <t>CT TOTAL</t>
  </si>
  <si>
    <t>1. If the cell "CT TOTAL" has a value, that value will be used as CT. Step cycle times in the "Process Data" sheet will be automatically scaled to match CT.</t>
  </si>
  <si>
    <r>
      <t>* NOTE:</t>
    </r>
    <r>
      <rPr>
        <sz val="10"/>
        <rFont val="Times New Roman"/>
        <family val="1"/>
      </rPr>
      <t xml:space="preserve">  The yield learning rate is the fraction of the total yield improvement completed halfway through the yield ramp. </t>
    </r>
  </si>
  <si>
    <r>
      <t>**NOTE:</t>
    </r>
    <r>
      <rPr>
        <sz val="10"/>
        <rFont val="Times New Roman"/>
        <family val="1"/>
      </rPr>
      <t xml:space="preserve"> The discount factor per year indicates how fast the revenue per wafer is decreasing.  </t>
    </r>
  </si>
  <si>
    <r>
      <t>***NOTE:</t>
    </r>
    <r>
      <rPr>
        <sz val="10"/>
        <rFont val="Times New Roman"/>
        <family val="1"/>
      </rPr>
      <t xml:space="preserve"> VT is the time when wafers that will be sold are first started, accounting for all delays for process development</t>
    </r>
  </si>
  <si>
    <t>BE SURE TO INCLUDE "RT" IN THE START TIMES.</t>
  </si>
  <si>
    <t>Fixed eqpt counts case only</t>
  </si>
  <si>
    <t xml:space="preserve">                A Phase is a time interval with either a fixed wafer start rate or a fixed equipment set.</t>
  </si>
  <si>
    <t xml:space="preserve">                Time before and after RT must be placed in different phases.</t>
  </si>
  <si>
    <t xml:space="preserve">                The last phase is automatically assumed to end at the process life time H.</t>
  </si>
  <si>
    <r>
      <t>NOTE:</t>
    </r>
    <r>
      <rPr>
        <sz val="10"/>
        <rFont val="Times New Roman"/>
        <family val="1"/>
      </rPr>
      <t xml:space="preserve"> Time 0 in this table is right after process qualification, i.e., after the duration 'VT'.</t>
    </r>
  </si>
  <si>
    <t>and qualification.</t>
  </si>
  <si>
    <t xml:space="preserve">                   For example, if R0=10,000 and the discount factor is 0.25, then the revenue per wafer one year after start of process development is 7,500.</t>
  </si>
  <si>
    <t>Actual CT (hours)</t>
  </si>
  <si>
    <t>Handling Time (mins)</t>
  </si>
  <si>
    <t>wafers/hour</t>
  </si>
  <si>
    <t>Batch Size</t>
  </si>
  <si>
    <t xml:space="preserve">             If data for Actual CT is entered, it must be entered for every step. If some are left blank, they will be assumed</t>
  </si>
  <si>
    <t xml:space="preserve">             There are two options for step cycle time data. One option is to enter actual cycle times in column O, including</t>
  </si>
  <si>
    <t xml:space="preserve">             all waiting, process and material handling times. The other option is to enter step batch size in column P and step</t>
  </si>
  <si>
    <t xml:space="preserve">             handling time in column Q, and let the system calculate step cycle times.</t>
  </si>
  <si>
    <t xml:space="preserve">             to be zero. If Actual CT is left blank for ALL steps, then CT will be calculated automatically for all steps based on</t>
  </si>
  <si>
    <t xml:space="preserve">            queuing analysis of equipment counts and CEE factors and the user input data from columns P and Q. If the total</t>
  </si>
  <si>
    <t xml:space="preserve">            of step cycle times is different from the "CT TOTAL" entry on the "Input Data" page, then step cycle times will </t>
  </si>
  <si>
    <t xml:space="preserve">            be automatically re-scaled to be consistent with "CT TOTAL". If "CT TOTAL" is left blank, no re-scaling is performed.</t>
  </si>
  <si>
    <t>Initial Revenue #</t>
  </si>
  <si>
    <t>## NOTE:  For Cycle Time Calculation, there are 3 possible sources:</t>
  </si>
  <si>
    <t>manufacturing cycle time ##</t>
  </si>
  <si>
    <t>2. If the cell "CT TOTAL" is left blank, the sum of "Actual CT" and handling time for all steps in sheet "Process Data" will be taken to be the value of CT.</t>
  </si>
  <si>
    <t xml:space="preserve">    WARNING: If some values of "Actual CT" are filled in but others are left blank, the steps with blank cells will be assumed to have 0 cycle time.</t>
  </si>
  <si>
    <r>
      <t># NOTE:</t>
    </r>
    <r>
      <rPr>
        <sz val="10"/>
        <rFont val="Times New Roman"/>
        <family val="1"/>
      </rPr>
      <t xml:space="preserve"> Initial revenue applies at start of process development </t>
    </r>
  </si>
  <si>
    <t xml:space="preserve">2. The "Input Data" spreadsheet includes shaded cells where the user defines the parameters in the cost models </t>
  </si>
  <si>
    <t xml:space="preserve">     that can be modified to simulate different situations.   These input parameters include unit costs of equipment,</t>
  </si>
  <si>
    <t xml:space="preserve">3.  The "Process Data" spreadsheet contains the detailed process data.  Input parameters for each step of the </t>
  </si>
  <si>
    <t xml:space="preserve">     process, including machine type, mask type (if any), theoretical wafer throughput for the step, direct and indirect </t>
  </si>
  <si>
    <t xml:space="preserve">     material costs for the step, and actual step cycle times (or step batch size and handling time). These factors </t>
  </si>
  <si>
    <t xml:space="preserve">     should be input in the appropriate shaded cell . The only allowable machine types and mask types are those </t>
  </si>
  <si>
    <t xml:space="preserve">     appearing in the tables of machine types and mask types appearing on the "Input Data" spreadsheet. </t>
  </si>
  <si>
    <t xml:space="preserve">     SEMATECH nomenclature for tool types and mask types is used. At present it is not possible to include more </t>
  </si>
  <si>
    <t xml:space="preserve"> for the phases after RT, the die output is calculated as</t>
  </si>
  <si>
    <t xml:space="preserve"> the actually realized revenue is calculated as</t>
  </si>
  <si>
    <t xml:space="preserve"> For multi-machine, general inter-arrival distribution and general service time distribution, an easy estimation</t>
  </si>
  <si>
    <t xml:space="preserve"> of cycle time for each equipment in each step can be done by Heavy-traffic approximation. The formula is</t>
  </si>
  <si>
    <t xml:space="preserve">         c is number of machines</t>
  </si>
  <si>
    <t xml:space="preserve">         s = (# wafers in one load) / (tool UPH)</t>
  </si>
  <si>
    <t>The expense per wafer is calculated as</t>
  </si>
  <si>
    <t xml:space="preserve"> [ti-1, ti], i=1, 2, …, n, and suppose the wafer starts rate in phase i is aiW, where an = 1.</t>
  </si>
  <si>
    <t xml:space="preserve">  For the phases before RT, the die output is calculated as</t>
  </si>
  <si>
    <t xml:space="preserve"> The summation of the actually realized revenue for all the phases is the total realized revenue. Thus the total delay</t>
  </si>
  <si>
    <t xml:space="preserve"> cost is calculated as the total realized revenue subtracted from the ideal revenue .</t>
  </si>
  <si>
    <t xml:space="preserve"> For semiconductor equipment with production scheduling, the varances are quite small and the following values</t>
  </si>
  <si>
    <t xml:space="preserve"> are used:</t>
  </si>
  <si>
    <t>To the value of CT derived using the above formulae, we add the handling time specified by the user to determine</t>
  </si>
  <si>
    <t>the total step cycle time.</t>
  </si>
  <si>
    <t>(This approach is applied only in the case the user does not specify actual step cycle times.)</t>
  </si>
  <si>
    <t>Queueing model for calculation of step cycle times</t>
  </si>
  <si>
    <t xml:space="preserve">3. If both "CT TOTAL" and "Actual CT" are left blank, then step cycle time will be calculated from equipment CEE and numbers of tools, then summed </t>
  </si>
  <si>
    <t xml:space="preserve">    with handling time for all steps to compute CT.</t>
  </si>
  <si>
    <t xml:space="preserve"> linear functions are stored as coefficients in the spreadsheets. Capital expenses for process tools and factory </t>
  </si>
  <si>
    <t xml:space="preserve"> space are annualized uniformly over pre-specified lifetimes.</t>
  </si>
  <si>
    <t xml:space="preserve">When time-varying wafer starts and equipment efficiencies are specified by phase under option 1, Ni is computed </t>
  </si>
  <si>
    <t xml:space="preserve"> each phase. However, the number of process tools of each type is not allowed to decline in subsequent for phases.</t>
  </si>
  <si>
    <t>Sum (hr)</t>
  </si>
  <si>
    <t>VAR</t>
  </si>
  <si>
    <t>SVT</t>
  </si>
  <si>
    <t>#tool</t>
  </si>
  <si>
    <t>#fraction</t>
  </si>
  <si>
    <t>Ce2</t>
  </si>
  <si>
    <t>CTq</t>
  </si>
  <si>
    <t>CT Data</t>
  </si>
  <si>
    <t>CT Calculated</t>
  </si>
  <si>
    <t>#steps</t>
  </si>
  <si>
    <t>Availability</t>
  </si>
  <si>
    <t>Tsvc</t>
  </si>
  <si>
    <t>tool type</t>
  </si>
  <si>
    <t>Twafer</t>
  </si>
  <si>
    <t>utilization</t>
  </si>
  <si>
    <t>factor</t>
  </si>
  <si>
    <t>Last Updated: December 19, 2001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</si>
</sst>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0"/>
    <numFmt numFmtId="177" formatCode="0.00000"/>
    <numFmt numFmtId="178" formatCode="0.0000000"/>
    <numFmt numFmtId="179" formatCode="0.00000000"/>
    <numFmt numFmtId="180" formatCode="0.000"/>
    <numFmt numFmtId="181" formatCode="0.0000"/>
    <numFmt numFmtId="182" formatCode="0.000000"/>
    <numFmt numFmtId="183" formatCode="0.000000000000"/>
    <numFmt numFmtId="184" formatCode="0.00000000000"/>
    <numFmt numFmtId="185" formatCode="0.0000000000"/>
    <numFmt numFmtId="186" formatCode="0.000000000"/>
    <numFmt numFmtId="187" formatCode="\ "/>
    <numFmt numFmtId="188" formatCode="&quot;Yes&quot;;&quot;Yes&quot;;&quot;No&quot;"/>
    <numFmt numFmtId="189" formatCode="&quot;True&quot;;&quot;True&quot;;&quot;False&quot;"/>
    <numFmt numFmtId="190" formatCode="&quot;On&quot;;&quot;On&quot;;&quot;Off&quot;"/>
  </numFmts>
  <fonts count="25">
    <font>
      <sz val="10"/>
      <name val="Arial"/>
      <family val="2"/>
    </font>
    <font>
      <sz val="10"/>
      <name val="Times New Roman"/>
      <family val="1"/>
    </font>
    <font>
      <sz val="10"/>
      <color indexed="48"/>
      <name val="Arial"/>
      <family val="2"/>
    </font>
    <font>
      <b/>
      <sz val="10"/>
      <name val="Times New Roman"/>
      <family val="1"/>
    </font>
    <font>
      <sz val="12"/>
      <name val="Times New Roman"/>
      <family val="1"/>
    </font>
    <font>
      <b/>
      <sz val="14"/>
      <name val="Times New Roman"/>
      <family val="1"/>
    </font>
    <font>
      <b/>
      <sz val="12"/>
      <name val="Times New Roman"/>
      <family val="1"/>
    </font>
    <font>
      <b/>
      <u val="single"/>
      <sz val="12"/>
      <name val="Times New Roman"/>
      <family val="1"/>
    </font>
    <font>
      <b/>
      <sz val="10"/>
      <color indexed="10"/>
      <name val="Times New Roman"/>
      <family val="1"/>
    </font>
    <font>
      <b/>
      <u val="single"/>
      <sz val="10"/>
      <name val="Times New Roman"/>
      <family val="1"/>
    </font>
    <font>
      <b/>
      <sz val="11"/>
      <name val="Times New Roman"/>
      <family val="1"/>
    </font>
    <font>
      <u val="single"/>
      <sz val="10"/>
      <name val="Times New Roman"/>
      <family val="1"/>
    </font>
    <font>
      <b/>
      <u val="single"/>
      <sz val="11"/>
      <name val="Times New Roman"/>
      <family val="1"/>
    </font>
    <font>
      <sz val="9"/>
      <name val="Times New Roman"/>
      <family val="1"/>
    </font>
    <font>
      <u val="single"/>
      <sz val="10"/>
      <color indexed="12"/>
      <name val="Arial"/>
      <family val="2"/>
    </font>
    <font>
      <u val="single"/>
      <sz val="10"/>
      <color indexed="36"/>
      <name val="Arial"/>
      <family val="2"/>
    </font>
    <font>
      <sz val="8"/>
      <name val="Tahoma"/>
      <family val="2"/>
    </font>
    <font>
      <b/>
      <sz val="10"/>
      <name val="Arial"/>
      <family val="2"/>
    </font>
    <font>
      <b/>
      <sz val="11"/>
      <name val="Arial"/>
      <family val="2"/>
    </font>
    <font>
      <sz val="10"/>
      <color indexed="10"/>
      <name val="Times New Roman"/>
      <family val="1"/>
    </font>
    <font>
      <b/>
      <sz val="12"/>
      <name val="Arial"/>
      <family val="2"/>
    </font>
    <font>
      <sz val="10"/>
      <color indexed="8"/>
      <name val="Times New Roman"/>
      <family val="1"/>
    </font>
    <font>
      <i/>
      <sz val="10"/>
      <name val="Times New Roman"/>
      <family val="1"/>
    </font>
    <font>
      <i/>
      <vertAlign val="subscript"/>
      <sz val="10"/>
      <name val="Times New Roman"/>
      <family val="1"/>
    </font>
    <font>
      <sz val="10"/>
      <color indexed="10"/>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78">
    <border>
      <left/>
      <right/>
      <top/>
      <bottom/>
      <diagonal/>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medium"/>
    </border>
    <border>
      <left style="medium"/>
      <right>
        <color indexed="63"/>
      </right>
      <top style="thin"/>
      <bottom>
        <color indexed="63"/>
      </bottom>
    </border>
    <border>
      <left style="thin"/>
      <right style="thin"/>
      <top>
        <color indexed="63"/>
      </top>
      <bottom style="thin"/>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thin"/>
      <right style="thin"/>
      <top style="medium"/>
      <bottom style="medium"/>
    </border>
    <border>
      <left style="medium"/>
      <right style="thin"/>
      <top style="medium"/>
      <bottom style="medium"/>
    </border>
    <border>
      <left style="medium"/>
      <right style="thin"/>
      <top>
        <color indexed="63"/>
      </top>
      <bottom>
        <color indexed="63"/>
      </bottom>
    </border>
    <border>
      <left style="medium"/>
      <right style="thin"/>
      <top>
        <color indexed="63"/>
      </top>
      <bottom style="medium"/>
    </border>
    <border>
      <left style="thin"/>
      <right style="medium"/>
      <top style="medium"/>
      <bottom style="medium"/>
    </border>
    <border>
      <left style="thin"/>
      <right style="medium"/>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style="medium"/>
      <bottom style="medium"/>
    </border>
    <border>
      <left style="thin"/>
      <right style="thin"/>
      <top style="thin"/>
      <bottom style="thin"/>
    </border>
    <border>
      <left style="medium"/>
      <right style="thin">
        <color indexed="8"/>
      </right>
      <top>
        <color indexed="63"/>
      </top>
      <bottom style="medium"/>
    </border>
    <border>
      <left style="thin"/>
      <right style="medium"/>
      <top style="thin"/>
      <bottom style="thin"/>
    </border>
    <border>
      <left style="medium"/>
      <right style="thin"/>
      <top style="thin"/>
      <bottom style="thin"/>
    </border>
    <border>
      <left>
        <color indexed="63"/>
      </left>
      <right style="thin"/>
      <top style="thin"/>
      <bottom style="medium"/>
    </border>
    <border>
      <left>
        <color indexed="63"/>
      </left>
      <right style="thin"/>
      <top>
        <color indexed="63"/>
      </top>
      <bottom style="thin"/>
    </border>
    <border>
      <left style="medium"/>
      <right style="thin"/>
      <top style="medium"/>
      <bottom style="thin"/>
    </border>
    <border>
      <left style="medium"/>
      <right style="thin"/>
      <top style="thin"/>
      <bottom style="medium"/>
    </border>
    <border>
      <left style="medium"/>
      <right style="thin"/>
      <top>
        <color indexed="63"/>
      </top>
      <bottom style="thin"/>
    </border>
    <border>
      <left>
        <color indexed="63"/>
      </left>
      <right style="thin"/>
      <top style="medium"/>
      <bottom style="medium"/>
    </border>
    <border>
      <left style="medium"/>
      <right style="thin"/>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style="thin"/>
      <bottom style="medium"/>
    </border>
    <border>
      <left style="medium"/>
      <right style="thin"/>
      <top style="thin"/>
      <bottom>
        <color indexed="63"/>
      </bottom>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466">
    <xf numFmtId="0" fontId="0" fillId="0" borderId="0" xfId="0" applyAlignment="1">
      <alignment/>
    </xf>
    <xf numFmtId="2" fontId="0" fillId="0" borderId="0" xfId="0" applyNumberFormat="1" applyBorder="1" applyAlignment="1">
      <alignment/>
    </xf>
    <xf numFmtId="1" fontId="0" fillId="0" borderId="0" xfId="0" applyNumberFormat="1" applyBorder="1" applyAlignment="1">
      <alignment/>
    </xf>
    <xf numFmtId="2" fontId="0" fillId="0" borderId="0" xfId="0" applyNumberFormat="1" applyAlignment="1">
      <alignment/>
    </xf>
    <xf numFmtId="1" fontId="0" fillId="0" borderId="0" xfId="0" applyNumberFormat="1" applyAlignment="1">
      <alignment/>
    </xf>
    <xf numFmtId="0" fontId="1" fillId="0" borderId="1" xfId="0" applyFont="1" applyBorder="1" applyAlignment="1">
      <alignment/>
    </xf>
    <xf numFmtId="0" fontId="2" fillId="0" borderId="0" xfId="0" applyFont="1" applyAlignment="1">
      <alignment/>
    </xf>
    <xf numFmtId="0" fontId="0" fillId="0" borderId="0" xfId="0" applyBorder="1" applyAlignment="1">
      <alignment/>
    </xf>
    <xf numFmtId="0" fontId="1" fillId="0" borderId="0"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80" fontId="0" fillId="0" borderId="0" xfId="0" applyNumberFormat="1" applyBorder="1" applyAlignment="1">
      <alignment/>
    </xf>
    <xf numFmtId="180" fontId="0" fillId="0" borderId="8" xfId="0" applyNumberFormat="1" applyBorder="1" applyAlignment="1">
      <alignment/>
    </xf>
    <xf numFmtId="2" fontId="0" fillId="0" borderId="5" xfId="0" applyNumberFormat="1" applyBorder="1" applyAlignment="1">
      <alignment/>
    </xf>
    <xf numFmtId="2" fontId="0" fillId="0" borderId="6" xfId="0" applyNumberFormat="1" applyBorder="1" applyAlignment="1">
      <alignment/>
    </xf>
    <xf numFmtId="2" fontId="0" fillId="0" borderId="8" xfId="0" applyNumberFormat="1" applyBorder="1" applyAlignment="1">
      <alignment/>
    </xf>
    <xf numFmtId="2" fontId="0" fillId="0" borderId="9" xfId="0" applyNumberFormat="1" applyBorder="1" applyAlignment="1">
      <alignment/>
    </xf>
    <xf numFmtId="0" fontId="0" fillId="0" borderId="13" xfId="0" applyBorder="1" applyAlignment="1">
      <alignment/>
    </xf>
    <xf numFmtId="0" fontId="0" fillId="0" borderId="14" xfId="0" applyBorder="1" applyAlignment="1">
      <alignment/>
    </xf>
    <xf numFmtId="1" fontId="0" fillId="0" borderId="8" xfId="0" applyNumberFormat="1" applyBorder="1" applyAlignment="1">
      <alignment/>
    </xf>
    <xf numFmtId="0" fontId="0" fillId="0" borderId="15" xfId="0" applyBorder="1" applyAlignment="1">
      <alignment/>
    </xf>
    <xf numFmtId="0" fontId="0" fillId="0" borderId="2" xfId="0" applyBorder="1" applyAlignment="1">
      <alignment/>
    </xf>
    <xf numFmtId="2" fontId="0" fillId="0" borderId="1" xfId="0" applyNumberFormat="1" applyBorder="1" applyAlignment="1">
      <alignment/>
    </xf>
    <xf numFmtId="2" fontId="0" fillId="0" borderId="2" xfId="0" applyNumberFormat="1" applyBorder="1" applyAlignment="1">
      <alignment/>
    </xf>
    <xf numFmtId="0" fontId="0" fillId="0" borderId="16" xfId="0" applyBorder="1" applyAlignment="1">
      <alignment/>
    </xf>
    <xf numFmtId="1" fontId="0" fillId="0" borderId="17" xfId="0" applyNumberFormat="1" applyBorder="1" applyAlignment="1">
      <alignment/>
    </xf>
    <xf numFmtId="1" fontId="0" fillId="0" borderId="18" xfId="0" applyNumberFormat="1" applyBorder="1" applyAlignment="1">
      <alignment/>
    </xf>
    <xf numFmtId="0" fontId="0" fillId="0" borderId="18" xfId="0" applyBorder="1" applyAlignment="1">
      <alignment/>
    </xf>
    <xf numFmtId="0" fontId="0" fillId="0" borderId="1"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2" fillId="0" borderId="14" xfId="0" applyFont="1" applyBorder="1" applyAlignment="1">
      <alignment/>
    </xf>
    <xf numFmtId="1" fontId="0" fillId="0" borderId="6" xfId="0" applyNumberForma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2" fontId="0" fillId="0" borderId="43" xfId="0" applyNumberFormat="1" applyBorder="1" applyAlignment="1">
      <alignment/>
    </xf>
    <xf numFmtId="2" fontId="0" fillId="0" borderId="34" xfId="0" applyNumberFormat="1" applyBorder="1" applyAlignment="1">
      <alignment/>
    </xf>
    <xf numFmtId="1" fontId="0" fillId="0" borderId="9" xfId="0" applyNumberFormat="1" applyBorder="1" applyAlignment="1">
      <alignment/>
    </xf>
    <xf numFmtId="1" fontId="0" fillId="0" borderId="1" xfId="0" applyNumberFormat="1" applyBorder="1" applyAlignment="1">
      <alignment/>
    </xf>
    <xf numFmtId="1" fontId="0" fillId="0" borderId="2" xfId="0" applyNumberFormat="1"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177" fontId="1" fillId="0" borderId="0" xfId="0" applyNumberFormat="1" applyFont="1" applyBorder="1" applyAlignment="1">
      <alignment/>
    </xf>
    <xf numFmtId="2" fontId="0" fillId="0" borderId="45" xfId="0" applyNumberFormat="1" applyBorder="1" applyAlignment="1">
      <alignment/>
    </xf>
    <xf numFmtId="2" fontId="0" fillId="0" borderId="46" xfId="0" applyNumberFormat="1" applyBorder="1" applyAlignment="1">
      <alignment/>
    </xf>
    <xf numFmtId="0" fontId="0" fillId="0" borderId="10" xfId="0" applyFill="1" applyBorder="1" applyAlignment="1">
      <alignment/>
    </xf>
    <xf numFmtId="0" fontId="0" fillId="0" borderId="31" xfId="0" applyFill="1" applyBorder="1" applyAlignment="1">
      <alignment/>
    </xf>
    <xf numFmtId="0" fontId="0" fillId="0" borderId="42" xfId="0" applyFill="1" applyBorder="1" applyAlignment="1">
      <alignment/>
    </xf>
    <xf numFmtId="180" fontId="0" fillId="0" borderId="0" xfId="0" applyNumberFormat="1" applyAlignment="1">
      <alignment/>
    </xf>
    <xf numFmtId="0" fontId="0" fillId="0" borderId="0" xfId="0" applyAlignment="1">
      <alignment horizontal="right"/>
    </xf>
    <xf numFmtId="0" fontId="0" fillId="0" borderId="0" xfId="0" applyFill="1" applyAlignment="1">
      <alignment/>
    </xf>
    <xf numFmtId="2" fontId="0" fillId="0" borderId="0" xfId="0" applyNumberFormat="1" applyFill="1" applyAlignment="1">
      <alignment/>
    </xf>
    <xf numFmtId="0" fontId="0" fillId="2" borderId="0" xfId="0" applyFill="1" applyBorder="1" applyAlignment="1">
      <alignment/>
    </xf>
    <xf numFmtId="2" fontId="0" fillId="0" borderId="0" xfId="0" applyNumberFormat="1" applyFill="1" applyBorder="1" applyAlignment="1">
      <alignment/>
    </xf>
    <xf numFmtId="0" fontId="0" fillId="3" borderId="0" xfId="0" applyFill="1" applyBorder="1" applyAlignment="1">
      <alignment/>
    </xf>
    <xf numFmtId="0" fontId="0" fillId="2" borderId="0" xfId="0" applyFill="1" applyAlignment="1">
      <alignment/>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center"/>
    </xf>
    <xf numFmtId="0" fontId="7" fillId="2" borderId="0" xfId="0" applyFont="1" applyFill="1" applyAlignment="1">
      <alignment horizontal="center"/>
    </xf>
    <xf numFmtId="0" fontId="1" fillId="2" borderId="0" xfId="0" applyFont="1" applyFill="1" applyAlignment="1">
      <alignment horizontal="center"/>
    </xf>
    <xf numFmtId="0" fontId="1" fillId="3" borderId="45" xfId="0" applyFont="1" applyFill="1" applyBorder="1" applyAlignment="1">
      <alignment/>
    </xf>
    <xf numFmtId="0" fontId="1" fillId="3" borderId="46" xfId="0" applyFont="1" applyFill="1" applyBorder="1" applyAlignment="1">
      <alignment/>
    </xf>
    <xf numFmtId="2" fontId="0" fillId="0" borderId="32" xfId="0" applyNumberFormat="1" applyBorder="1" applyAlignment="1">
      <alignment/>
    </xf>
    <xf numFmtId="0" fontId="0" fillId="0" borderId="48" xfId="0" applyBorder="1" applyAlignment="1">
      <alignment/>
    </xf>
    <xf numFmtId="2" fontId="0" fillId="0" borderId="31" xfId="0" applyNumberFormat="1"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2" fontId="0" fillId="0" borderId="50" xfId="0" applyNumberFormat="1" applyBorder="1" applyAlignment="1">
      <alignment/>
    </xf>
    <xf numFmtId="2" fontId="0" fillId="0" borderId="51" xfId="0" applyNumberFormat="1" applyBorder="1" applyAlignment="1">
      <alignment/>
    </xf>
    <xf numFmtId="0" fontId="1" fillId="0" borderId="0" xfId="0" applyFont="1" applyAlignment="1">
      <alignment/>
    </xf>
    <xf numFmtId="0" fontId="1" fillId="0" borderId="12" xfId="0" applyFont="1" applyFill="1" applyBorder="1" applyAlignment="1">
      <alignment/>
    </xf>
    <xf numFmtId="0" fontId="1" fillId="3" borderId="52" xfId="0" applyFont="1" applyFill="1" applyBorder="1" applyAlignment="1">
      <alignment/>
    </xf>
    <xf numFmtId="0" fontId="1" fillId="0" borderId="19" xfId="0" applyFont="1" applyFill="1" applyBorder="1" applyAlignment="1">
      <alignment horizontal="center"/>
    </xf>
    <xf numFmtId="0" fontId="1" fillId="0" borderId="52" xfId="0" applyFont="1" applyFill="1" applyBorder="1" applyAlignment="1">
      <alignment horizontal="center"/>
    </xf>
    <xf numFmtId="0" fontId="1" fillId="0" borderId="5" xfId="0" applyFont="1" applyFill="1" applyBorder="1" applyAlignment="1">
      <alignment/>
    </xf>
    <xf numFmtId="0" fontId="1" fillId="3" borderId="1" xfId="0" applyFont="1" applyFill="1" applyBorder="1" applyAlignment="1">
      <alignment horizontal="center"/>
    </xf>
    <xf numFmtId="0" fontId="1" fillId="3" borderId="53" xfId="0" applyFont="1" applyFill="1" applyBorder="1" applyAlignment="1">
      <alignment horizontal="center"/>
    </xf>
    <xf numFmtId="0" fontId="1" fillId="0" borderId="7" xfId="0" applyFont="1" applyFill="1" applyBorder="1" applyAlignment="1">
      <alignment/>
    </xf>
    <xf numFmtId="0" fontId="1" fillId="3" borderId="2" xfId="0" applyFont="1" applyFill="1" applyBorder="1" applyAlignment="1">
      <alignment horizontal="center"/>
    </xf>
    <xf numFmtId="0" fontId="1" fillId="3" borderId="34" xfId="0" applyFont="1" applyFill="1" applyBorder="1" applyAlignment="1">
      <alignment horizontal="center"/>
    </xf>
    <xf numFmtId="0" fontId="1" fillId="0" borderId="20" xfId="0" applyFont="1" applyBorder="1" applyAlignment="1">
      <alignment/>
    </xf>
    <xf numFmtId="0" fontId="1" fillId="0" borderId="36" xfId="0" applyFont="1" applyFill="1" applyBorder="1" applyAlignment="1">
      <alignment horizontal="center"/>
    </xf>
    <xf numFmtId="0" fontId="1" fillId="0" borderId="5" xfId="0" applyFont="1" applyBorder="1" applyAlignment="1">
      <alignment/>
    </xf>
    <xf numFmtId="0" fontId="8" fillId="0" borderId="0" xfId="0" applyFont="1" applyAlignment="1" quotePrefix="1">
      <alignment/>
    </xf>
    <xf numFmtId="0" fontId="1" fillId="0" borderId="7" xfId="0" applyFont="1" applyBorder="1" applyAlignment="1">
      <alignment/>
    </xf>
    <xf numFmtId="0" fontId="1" fillId="0" borderId="20" xfId="0" applyFont="1" applyFill="1" applyBorder="1" applyAlignment="1">
      <alignment/>
    </xf>
    <xf numFmtId="0" fontId="1" fillId="0" borderId="30" xfId="0" applyFont="1" applyFill="1" applyBorder="1" applyAlignment="1">
      <alignment horizontal="center"/>
    </xf>
    <xf numFmtId="0" fontId="1" fillId="0" borderId="3" xfId="0" applyFont="1" applyFill="1" applyBorder="1" applyAlignment="1">
      <alignment horizontal="center"/>
    </xf>
    <xf numFmtId="0" fontId="1" fillId="0" borderId="15" xfId="0" applyFont="1" applyFill="1" applyBorder="1" applyAlignment="1">
      <alignment horizontal="center"/>
    </xf>
    <xf numFmtId="0" fontId="1" fillId="0" borderId="41" xfId="0" applyFont="1" applyFill="1" applyBorder="1" applyAlignment="1">
      <alignment/>
    </xf>
    <xf numFmtId="0" fontId="1" fillId="3" borderId="54" xfId="0" applyFont="1" applyFill="1" applyBorder="1" applyAlignment="1">
      <alignment horizontal="center"/>
    </xf>
    <xf numFmtId="0" fontId="1" fillId="3" borderId="55" xfId="0" applyFont="1" applyFill="1" applyBorder="1" applyAlignment="1">
      <alignment horizontal="center"/>
    </xf>
    <xf numFmtId="0" fontId="1" fillId="3" borderId="56" xfId="0" applyFont="1" applyFill="1" applyBorder="1" applyAlignment="1">
      <alignment horizontal="center"/>
    </xf>
    <xf numFmtId="0" fontId="1" fillId="0" borderId="5" xfId="0" applyFont="1" applyFill="1" applyBorder="1" applyAlignment="1">
      <alignment horizontal="left" indent="1"/>
    </xf>
    <xf numFmtId="0" fontId="1" fillId="3" borderId="31" xfId="0" applyFont="1" applyFill="1" applyBorder="1" applyAlignment="1">
      <alignment horizontal="center"/>
    </xf>
    <xf numFmtId="0" fontId="1" fillId="3" borderId="0" xfId="0" applyFont="1" applyFill="1" applyBorder="1" applyAlignment="1">
      <alignment horizontal="center"/>
    </xf>
    <xf numFmtId="0" fontId="1" fillId="0" borderId="13" xfId="0" applyFont="1" applyFill="1" applyBorder="1" applyAlignment="1">
      <alignment horizontal="left" indent="1"/>
    </xf>
    <xf numFmtId="0" fontId="1" fillId="3" borderId="42" xfId="0" applyFont="1" applyFill="1" applyBorder="1" applyAlignment="1">
      <alignment horizontal="center"/>
    </xf>
    <xf numFmtId="0" fontId="1" fillId="3" borderId="57" xfId="0" applyFont="1" applyFill="1" applyBorder="1" applyAlignment="1">
      <alignment horizontal="center"/>
    </xf>
    <xf numFmtId="0" fontId="1" fillId="3" borderId="58" xfId="0" applyFont="1" applyFill="1" applyBorder="1" applyAlignment="1">
      <alignment horizontal="center"/>
    </xf>
    <xf numFmtId="0" fontId="1" fillId="3" borderId="59" xfId="0" applyFont="1" applyFill="1" applyBorder="1" applyAlignment="1">
      <alignment horizontal="center"/>
    </xf>
    <xf numFmtId="0" fontId="1" fillId="0" borderId="7" xfId="0" applyFont="1" applyFill="1" applyBorder="1" applyAlignment="1">
      <alignment horizontal="left" indent="1"/>
    </xf>
    <xf numFmtId="0" fontId="1" fillId="3" borderId="32" xfId="0" applyFont="1" applyFill="1" applyBorder="1" applyAlignment="1">
      <alignment horizontal="center"/>
    </xf>
    <xf numFmtId="0" fontId="1" fillId="3" borderId="8" xfId="0" applyFont="1" applyFill="1" applyBorder="1" applyAlignment="1">
      <alignment horizontal="center"/>
    </xf>
    <xf numFmtId="0" fontId="7" fillId="0" borderId="0" xfId="0" applyFont="1" applyAlignment="1">
      <alignment/>
    </xf>
    <xf numFmtId="0" fontId="3" fillId="0" borderId="12" xfId="0" applyFont="1" applyBorder="1" applyAlignment="1">
      <alignment/>
    </xf>
    <xf numFmtId="0" fontId="3" fillId="0" borderId="48" xfId="0" applyFont="1" applyFill="1" applyBorder="1" applyAlignment="1">
      <alignment/>
    </xf>
    <xf numFmtId="0" fontId="1" fillId="0" borderId="31" xfId="0" applyFont="1" applyFill="1" applyBorder="1" applyAlignment="1">
      <alignment horizontal="center"/>
    </xf>
    <xf numFmtId="0" fontId="1" fillId="0" borderId="0" xfId="0" applyFont="1" applyFill="1" applyBorder="1" applyAlignment="1">
      <alignment/>
    </xf>
    <xf numFmtId="0" fontId="3" fillId="0" borderId="49" xfId="0" applyFont="1" applyBorder="1" applyAlignment="1">
      <alignment horizontal="left"/>
    </xf>
    <xf numFmtId="0" fontId="1" fillId="0" borderId="10" xfId="0" applyFont="1" applyBorder="1" applyAlignment="1">
      <alignment/>
    </xf>
    <xf numFmtId="0" fontId="1" fillId="0" borderId="32" xfId="0" applyFont="1" applyFill="1" applyBorder="1" applyAlignment="1">
      <alignment horizontal="center"/>
    </xf>
    <xf numFmtId="0" fontId="1" fillId="0" borderId="12" xfId="0" applyFont="1" applyBorder="1" applyAlignment="1">
      <alignment/>
    </xf>
    <xf numFmtId="0" fontId="1" fillId="0" borderId="11" xfId="0" applyFont="1" applyBorder="1" applyAlignment="1">
      <alignment/>
    </xf>
    <xf numFmtId="2" fontId="1" fillId="0" borderId="19" xfId="0" applyNumberFormat="1" applyFont="1" applyBorder="1" applyAlignment="1">
      <alignment/>
    </xf>
    <xf numFmtId="2" fontId="1" fillId="0" borderId="48" xfId="0" applyNumberFormat="1" applyFont="1" applyBorder="1" applyAlignment="1">
      <alignment/>
    </xf>
    <xf numFmtId="2" fontId="1" fillId="0" borderId="11" xfId="0" applyNumberFormat="1" applyFont="1" applyBorder="1" applyAlignment="1">
      <alignment/>
    </xf>
    <xf numFmtId="2" fontId="1" fillId="0" borderId="2" xfId="0" applyNumberFormat="1" applyFont="1" applyBorder="1" applyAlignment="1">
      <alignment/>
    </xf>
    <xf numFmtId="2" fontId="1" fillId="0" borderId="32" xfId="0" applyNumberFormat="1" applyFont="1" applyBorder="1" applyAlignment="1">
      <alignment/>
    </xf>
    <xf numFmtId="0" fontId="1" fillId="0" borderId="9" xfId="0" applyFont="1" applyBorder="1" applyAlignment="1">
      <alignment/>
    </xf>
    <xf numFmtId="0" fontId="1" fillId="0" borderId="60" xfId="0" applyFont="1" applyFill="1" applyBorder="1" applyAlignment="1">
      <alignment/>
    </xf>
    <xf numFmtId="0" fontId="1" fillId="0" borderId="60" xfId="0" applyFont="1" applyBorder="1" applyAlignment="1">
      <alignment/>
    </xf>
    <xf numFmtId="0" fontId="1" fillId="0" borderId="0" xfId="0" applyFont="1" applyFill="1" applyBorder="1" applyAlignment="1">
      <alignment horizontal="center"/>
    </xf>
    <xf numFmtId="0" fontId="1" fillId="3" borderId="1" xfId="0" applyFont="1" applyFill="1" applyBorder="1" applyAlignment="1">
      <alignment/>
    </xf>
    <xf numFmtId="0" fontId="1" fillId="3" borderId="31" xfId="0" applyFont="1" applyFill="1" applyBorder="1" applyAlignment="1">
      <alignment/>
    </xf>
    <xf numFmtId="0" fontId="1" fillId="3" borderId="6" xfId="0" applyFont="1" applyFill="1" applyBorder="1" applyAlignment="1">
      <alignment/>
    </xf>
    <xf numFmtId="0" fontId="1" fillId="3" borderId="5" xfId="0" applyFont="1" applyFill="1" applyBorder="1" applyAlignment="1">
      <alignment/>
    </xf>
    <xf numFmtId="0" fontId="1" fillId="0" borderId="8" xfId="0" applyFont="1" applyFill="1" applyBorder="1" applyAlignment="1">
      <alignment horizontal="center"/>
    </xf>
    <xf numFmtId="0" fontId="1" fillId="3" borderId="2" xfId="0" applyFont="1" applyFill="1" applyBorder="1" applyAlignment="1">
      <alignment/>
    </xf>
    <xf numFmtId="0" fontId="1" fillId="3" borderId="32" xfId="0" applyFont="1" applyFill="1" applyBorder="1" applyAlignment="1">
      <alignment/>
    </xf>
    <xf numFmtId="0" fontId="1" fillId="3" borderId="9" xfId="0" applyFont="1" applyFill="1" applyBorder="1" applyAlignment="1">
      <alignment/>
    </xf>
    <xf numFmtId="0" fontId="1" fillId="3" borderId="7" xfId="0" applyFont="1" applyFill="1" applyBorder="1" applyAlignment="1">
      <alignment/>
    </xf>
    <xf numFmtId="0" fontId="9" fillId="0" borderId="0" xfId="0" applyFont="1" applyAlignment="1">
      <alignment/>
    </xf>
    <xf numFmtId="0" fontId="3" fillId="4" borderId="12" xfId="0" applyFont="1" applyFill="1" applyBorder="1" applyAlignment="1">
      <alignment/>
    </xf>
    <xf numFmtId="0" fontId="1" fillId="4" borderId="10" xfId="0" applyFont="1" applyFill="1" applyBorder="1" applyAlignment="1">
      <alignment/>
    </xf>
    <xf numFmtId="0" fontId="1" fillId="4" borderId="11" xfId="0" applyFont="1" applyFill="1" applyBorder="1" applyAlignment="1">
      <alignment/>
    </xf>
    <xf numFmtId="0" fontId="1" fillId="4" borderId="12" xfId="0" applyFont="1" applyFill="1" applyBorder="1" applyAlignment="1">
      <alignment/>
    </xf>
    <xf numFmtId="0" fontId="1" fillId="4" borderId="5" xfId="0" applyFont="1" applyFill="1" applyBorder="1" applyAlignment="1">
      <alignment/>
    </xf>
    <xf numFmtId="0" fontId="1" fillId="4" borderId="13" xfId="0" applyFont="1" applyFill="1" applyBorder="1" applyAlignment="1">
      <alignment/>
    </xf>
    <xf numFmtId="0" fontId="3" fillId="4" borderId="7" xfId="0" applyFont="1" applyFill="1" applyBorder="1" applyAlignment="1">
      <alignment/>
    </xf>
    <xf numFmtId="0" fontId="1" fillId="0" borderId="0" xfId="0" applyFont="1" applyFill="1" applyAlignment="1">
      <alignment/>
    </xf>
    <xf numFmtId="0" fontId="1" fillId="4" borderId="14" xfId="0" applyFont="1" applyFill="1" applyBorder="1" applyAlignment="1">
      <alignment/>
    </xf>
    <xf numFmtId="0" fontId="1" fillId="4" borderId="4" xfId="0" applyFont="1" applyFill="1" applyBorder="1" applyAlignment="1">
      <alignment/>
    </xf>
    <xf numFmtId="0" fontId="1" fillId="4" borderId="7" xfId="0" applyFont="1" applyFill="1" applyBorder="1" applyAlignment="1">
      <alignment/>
    </xf>
    <xf numFmtId="0" fontId="1" fillId="4" borderId="9" xfId="0" applyFont="1" applyFill="1" applyBorder="1" applyAlignment="1">
      <alignment/>
    </xf>
    <xf numFmtId="0" fontId="1" fillId="4" borderId="6" xfId="0" applyFont="1" applyFill="1" applyBorder="1" applyAlignment="1">
      <alignment/>
    </xf>
    <xf numFmtId="0" fontId="1" fillId="5" borderId="7" xfId="0" applyFont="1" applyFill="1" applyBorder="1" applyAlignment="1">
      <alignment/>
    </xf>
    <xf numFmtId="2" fontId="1" fillId="5" borderId="9" xfId="0" applyNumberFormat="1" applyFont="1" applyFill="1" applyBorder="1" applyAlignment="1">
      <alignment/>
    </xf>
    <xf numFmtId="0" fontId="1" fillId="4" borderId="3" xfId="0" applyFont="1" applyFill="1" applyBorder="1" applyAlignment="1">
      <alignment/>
    </xf>
    <xf numFmtId="0" fontId="0" fillId="6" borderId="0" xfId="0" applyFill="1" applyAlignment="1">
      <alignment/>
    </xf>
    <xf numFmtId="0" fontId="0" fillId="6" borderId="14" xfId="0" applyFill="1" applyBorder="1" applyAlignment="1">
      <alignment/>
    </xf>
    <xf numFmtId="0" fontId="0" fillId="6" borderId="3" xfId="0" applyFill="1" applyBorder="1" applyAlignment="1">
      <alignment/>
    </xf>
    <xf numFmtId="0" fontId="0" fillId="6" borderId="4" xfId="0" applyFill="1" applyBorder="1" applyAlignment="1">
      <alignment/>
    </xf>
    <xf numFmtId="0" fontId="0" fillId="6" borderId="5" xfId="0" applyFill="1" applyBorder="1" applyAlignment="1">
      <alignment/>
    </xf>
    <xf numFmtId="0" fontId="0" fillId="6" borderId="0" xfId="0" applyFill="1" applyBorder="1" applyAlignment="1">
      <alignment/>
    </xf>
    <xf numFmtId="0" fontId="0" fillId="6" borderId="12" xfId="0" applyFill="1" applyBorder="1" applyAlignment="1">
      <alignment/>
    </xf>
    <xf numFmtId="0" fontId="0" fillId="6" borderId="60" xfId="0" applyFill="1" applyBorder="1" applyAlignment="1">
      <alignment/>
    </xf>
    <xf numFmtId="0" fontId="0" fillId="6" borderId="7" xfId="0" applyFill="1" applyBorder="1" applyAlignment="1">
      <alignment/>
    </xf>
    <xf numFmtId="0" fontId="0" fillId="6" borderId="8" xfId="0" applyFill="1" applyBorder="1" applyAlignment="1">
      <alignment/>
    </xf>
    <xf numFmtId="2" fontId="0" fillId="6" borderId="7" xfId="0" applyNumberFormat="1" applyFill="1" applyBorder="1" applyAlignment="1">
      <alignment/>
    </xf>
    <xf numFmtId="2" fontId="0" fillId="6" borderId="46" xfId="0" applyNumberFormat="1" applyFill="1" applyBorder="1" applyAlignment="1">
      <alignment/>
    </xf>
    <xf numFmtId="0" fontId="0" fillId="6" borderId="44" xfId="0" applyFill="1" applyBorder="1" applyAlignment="1">
      <alignment/>
    </xf>
    <xf numFmtId="2" fontId="0" fillId="6" borderId="5" xfId="0" applyNumberFormat="1" applyFill="1" applyBorder="1" applyAlignment="1">
      <alignment/>
    </xf>
    <xf numFmtId="2" fontId="0" fillId="6" borderId="45" xfId="0" applyNumberFormat="1" applyFill="1" applyBorder="1" applyAlignment="1">
      <alignment/>
    </xf>
    <xf numFmtId="0" fontId="0" fillId="6" borderId="10" xfId="0" applyFill="1" applyBorder="1" applyAlignment="1">
      <alignment/>
    </xf>
    <xf numFmtId="2" fontId="0" fillId="6" borderId="12" xfId="0" applyNumberFormat="1" applyFill="1" applyBorder="1" applyAlignment="1">
      <alignment/>
    </xf>
    <xf numFmtId="2" fontId="0" fillId="6" borderId="60" xfId="0" applyNumberFormat="1" applyFill="1" applyBorder="1" applyAlignment="1">
      <alignment/>
    </xf>
    <xf numFmtId="0" fontId="0" fillId="6" borderId="45" xfId="0" applyFill="1" applyBorder="1" applyAlignment="1">
      <alignment/>
    </xf>
    <xf numFmtId="0" fontId="0" fillId="6" borderId="6" xfId="0" applyFill="1" applyBorder="1" applyAlignment="1">
      <alignment/>
    </xf>
    <xf numFmtId="0" fontId="0" fillId="6" borderId="11" xfId="0" applyFill="1" applyBorder="1" applyAlignment="1">
      <alignment/>
    </xf>
    <xf numFmtId="0" fontId="0" fillId="6" borderId="46" xfId="0" applyFill="1" applyBorder="1" applyAlignment="1">
      <alignment/>
    </xf>
    <xf numFmtId="0" fontId="0" fillId="6" borderId="9" xfId="0" applyFill="1" applyBorder="1" applyAlignment="1">
      <alignment/>
    </xf>
    <xf numFmtId="0" fontId="3" fillId="5" borderId="7" xfId="0" applyFont="1" applyFill="1" applyBorder="1" applyAlignment="1">
      <alignment/>
    </xf>
    <xf numFmtId="0" fontId="4" fillId="0" borderId="12"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5" xfId="0" applyFont="1" applyBorder="1" applyAlignment="1">
      <alignment/>
    </xf>
    <xf numFmtId="1" fontId="4" fillId="0" borderId="1" xfId="0" applyNumberFormat="1" applyFont="1" applyBorder="1" applyAlignment="1">
      <alignment/>
    </xf>
    <xf numFmtId="1" fontId="4" fillId="0" borderId="53" xfId="0" applyNumberFormat="1" applyFont="1" applyBorder="1" applyAlignment="1">
      <alignment/>
    </xf>
    <xf numFmtId="0" fontId="4" fillId="0" borderId="7" xfId="0" applyFont="1" applyBorder="1" applyAlignment="1">
      <alignment/>
    </xf>
    <xf numFmtId="1" fontId="4" fillId="0" borderId="2" xfId="0" applyNumberFormat="1" applyFont="1" applyBorder="1" applyAlignment="1">
      <alignment/>
    </xf>
    <xf numFmtId="1" fontId="4" fillId="0" borderId="34" xfId="0" applyNumberFormat="1" applyFont="1" applyBorder="1" applyAlignment="1">
      <alignment/>
    </xf>
    <xf numFmtId="0" fontId="4" fillId="0" borderId="0" xfId="0" applyFont="1" applyBorder="1" applyAlignment="1">
      <alignment/>
    </xf>
    <xf numFmtId="0" fontId="1" fillId="0" borderId="44" xfId="0" applyFont="1" applyBorder="1" applyAlignment="1">
      <alignment/>
    </xf>
    <xf numFmtId="0" fontId="1" fillId="0" borderId="3" xfId="0" applyFont="1" applyBorder="1" applyAlignment="1">
      <alignment/>
    </xf>
    <xf numFmtId="0" fontId="1" fillId="0" borderId="46" xfId="0" applyFont="1" applyBorder="1" applyAlignment="1">
      <alignment/>
    </xf>
    <xf numFmtId="0" fontId="1" fillId="0" borderId="8" xfId="0" applyFont="1" applyBorder="1" applyAlignment="1">
      <alignment/>
    </xf>
    <xf numFmtId="2" fontId="1" fillId="0" borderId="1" xfId="0" applyNumberFormat="1" applyFont="1" applyBorder="1" applyAlignment="1">
      <alignment/>
    </xf>
    <xf numFmtId="1" fontId="3" fillId="0" borderId="11" xfId="0" applyNumberFormat="1" applyFont="1" applyBorder="1" applyAlignment="1">
      <alignment/>
    </xf>
    <xf numFmtId="2" fontId="3" fillId="0" borderId="48" xfId="0" applyNumberFormat="1" applyFont="1" applyBorder="1" applyAlignment="1">
      <alignment/>
    </xf>
    <xf numFmtId="0" fontId="7" fillId="0" borderId="0" xfId="0" applyFont="1" applyFill="1" applyAlignment="1">
      <alignment/>
    </xf>
    <xf numFmtId="0" fontId="1" fillId="2" borderId="0" xfId="0" applyFont="1" applyFill="1" applyAlignment="1">
      <alignment/>
    </xf>
    <xf numFmtId="0" fontId="3" fillId="2" borderId="0" xfId="0" applyFont="1" applyFill="1" applyAlignment="1">
      <alignment horizontal="center"/>
    </xf>
    <xf numFmtId="0" fontId="1" fillId="2" borderId="0" xfId="0" applyFont="1" applyFill="1" applyBorder="1" applyAlignment="1">
      <alignment/>
    </xf>
    <xf numFmtId="0" fontId="9" fillId="2" borderId="0" xfId="0" applyFont="1" applyFill="1" applyBorder="1" applyAlignment="1">
      <alignment/>
    </xf>
    <xf numFmtId="0" fontId="7" fillId="2" borderId="0" xfId="0" applyFont="1" applyFill="1" applyBorder="1" applyAlignment="1">
      <alignment/>
    </xf>
    <xf numFmtId="0" fontId="10" fillId="2" borderId="0" xfId="0" applyFont="1" applyFill="1" applyAlignment="1">
      <alignment horizontal="center"/>
    </xf>
    <xf numFmtId="0" fontId="0" fillId="6" borderId="21" xfId="0" applyFill="1" applyBorder="1" applyAlignment="1">
      <alignment/>
    </xf>
    <xf numFmtId="0" fontId="0" fillId="6" borderId="23" xfId="0" applyFill="1" applyBorder="1" applyAlignment="1">
      <alignment/>
    </xf>
    <xf numFmtId="0" fontId="0" fillId="0" borderId="52" xfId="0" applyBorder="1" applyAlignment="1">
      <alignment/>
    </xf>
    <xf numFmtId="0" fontId="9" fillId="2" borderId="0" xfId="0" applyFont="1" applyFill="1" applyAlignment="1">
      <alignment/>
    </xf>
    <xf numFmtId="0" fontId="7" fillId="2" borderId="0" xfId="0" applyFont="1" applyFill="1" applyAlignment="1">
      <alignment/>
    </xf>
    <xf numFmtId="0" fontId="9" fillId="2" borderId="0" xfId="0" applyFont="1" applyFill="1" applyAlignment="1">
      <alignment horizontal="left"/>
    </xf>
    <xf numFmtId="0" fontId="9" fillId="2" borderId="0" xfId="0" applyFont="1" applyFill="1" applyAlignment="1">
      <alignment horizontal="center"/>
    </xf>
    <xf numFmtId="0" fontId="1" fillId="2" borderId="0" xfId="0" applyFont="1" applyFill="1" applyBorder="1" applyAlignment="1">
      <alignment horizontal="center"/>
    </xf>
    <xf numFmtId="0" fontId="3" fillId="2" borderId="0" xfId="0" applyFont="1" applyFill="1" applyBorder="1" applyAlignment="1">
      <alignment horizontal="left"/>
    </xf>
    <xf numFmtId="0" fontId="9" fillId="2" borderId="0" xfId="0" applyFont="1" applyFill="1" applyBorder="1" applyAlignment="1">
      <alignment horizontal="left"/>
    </xf>
    <xf numFmtId="0" fontId="0" fillId="2" borderId="0" xfId="0" applyFill="1" applyAlignment="1">
      <alignment horizontal="center"/>
    </xf>
    <xf numFmtId="0" fontId="9" fillId="2" borderId="0" xfId="0" applyFont="1" applyFill="1" applyBorder="1" applyAlignment="1">
      <alignment horizontal="center"/>
    </xf>
    <xf numFmtId="0" fontId="3" fillId="2" borderId="0" xfId="0" applyFont="1" applyFill="1" applyBorder="1" applyAlignment="1">
      <alignment horizontal="center"/>
    </xf>
    <xf numFmtId="0" fontId="12" fillId="2" borderId="0" xfId="0" applyFont="1" applyFill="1" applyAlignment="1">
      <alignment/>
    </xf>
    <xf numFmtId="0" fontId="1" fillId="0" borderId="0" xfId="0" applyFont="1" applyFill="1" applyBorder="1" applyAlignment="1">
      <alignment horizontal="left"/>
    </xf>
    <xf numFmtId="0" fontId="1" fillId="2" borderId="0" xfId="0" applyFont="1" applyFill="1" applyBorder="1" applyAlignment="1">
      <alignment horizontal="left" indent="1"/>
    </xf>
    <xf numFmtId="2" fontId="1" fillId="2" borderId="0" xfId="0" applyNumberFormat="1" applyFont="1" applyFill="1" applyBorder="1" applyAlignment="1">
      <alignment/>
    </xf>
    <xf numFmtId="2" fontId="1" fillId="2" borderId="0" xfId="0" applyNumberFormat="1" applyFont="1" applyFill="1" applyBorder="1" applyAlignment="1">
      <alignment horizontal="center"/>
    </xf>
    <xf numFmtId="182" fontId="1" fillId="2" borderId="0" xfId="0" applyNumberFormat="1" applyFont="1" applyFill="1" applyBorder="1" applyAlignment="1">
      <alignment horizontal="center"/>
    </xf>
    <xf numFmtId="0" fontId="0" fillId="0" borderId="10" xfId="0" applyFill="1" applyBorder="1" applyAlignment="1">
      <alignment horizontal="right"/>
    </xf>
    <xf numFmtId="0" fontId="0" fillId="0" borderId="19" xfId="0" applyFill="1" applyBorder="1" applyAlignment="1">
      <alignment horizontal="right"/>
    </xf>
    <xf numFmtId="0" fontId="0" fillId="0" borderId="48" xfId="0" applyFill="1" applyBorder="1" applyAlignment="1">
      <alignment horizontal="right"/>
    </xf>
    <xf numFmtId="0" fontId="0" fillId="0" borderId="52" xfId="0" applyFill="1" applyBorder="1" applyAlignment="1">
      <alignment horizontal="right"/>
    </xf>
    <xf numFmtId="0" fontId="4" fillId="0" borderId="49" xfId="0" applyFont="1" applyBorder="1" applyAlignment="1">
      <alignment/>
    </xf>
    <xf numFmtId="0" fontId="1" fillId="0" borderId="0" xfId="0" applyFont="1" applyAlignment="1">
      <alignment horizontal="left" indent="1"/>
    </xf>
    <xf numFmtId="0" fontId="13" fillId="2" borderId="0" xfId="0" applyFont="1" applyFill="1" applyBorder="1" applyAlignment="1">
      <alignment horizontal="left"/>
    </xf>
    <xf numFmtId="0" fontId="0" fillId="2" borderId="0" xfId="0" applyFont="1" applyFill="1" applyBorder="1" applyAlignment="1">
      <alignment/>
    </xf>
    <xf numFmtId="0" fontId="0" fillId="0" borderId="0" xfId="0" applyFont="1" applyAlignment="1">
      <alignment/>
    </xf>
    <xf numFmtId="0" fontId="1" fillId="3" borderId="0" xfId="0" applyFont="1" applyFill="1" applyAlignment="1">
      <alignment/>
    </xf>
    <xf numFmtId="0" fontId="1" fillId="6" borderId="0" xfId="0" applyFont="1" applyFill="1" applyAlignment="1">
      <alignment/>
    </xf>
    <xf numFmtId="3" fontId="1" fillId="2" borderId="0" xfId="0" applyNumberFormat="1" applyFont="1" applyFill="1" applyBorder="1" applyAlignment="1">
      <alignment horizontal="center"/>
    </xf>
    <xf numFmtId="2" fontId="0" fillId="3" borderId="6" xfId="0" applyNumberFormat="1" applyFill="1" applyBorder="1" applyAlignment="1">
      <alignment/>
    </xf>
    <xf numFmtId="0" fontId="0" fillId="0" borderId="60" xfId="0" applyBorder="1" applyAlignment="1">
      <alignment/>
    </xf>
    <xf numFmtId="0" fontId="0" fillId="0" borderId="60" xfId="0" applyBorder="1" applyAlignment="1">
      <alignment horizontal="right"/>
    </xf>
    <xf numFmtId="0" fontId="1" fillId="0" borderId="58" xfId="0" applyFont="1" applyBorder="1" applyAlignment="1">
      <alignment/>
    </xf>
    <xf numFmtId="0" fontId="18" fillId="0" borderId="26" xfId="0" applyFont="1" applyBorder="1" applyAlignment="1">
      <alignment/>
    </xf>
    <xf numFmtId="0" fontId="17" fillId="0" borderId="26" xfId="0" applyFont="1" applyBorder="1" applyAlignment="1">
      <alignment/>
    </xf>
    <xf numFmtId="0" fontId="17" fillId="0" borderId="61" xfId="0" applyFont="1" applyBorder="1" applyAlignment="1">
      <alignment/>
    </xf>
    <xf numFmtId="0" fontId="0" fillId="3" borderId="45" xfId="0" applyFill="1" applyBorder="1" applyAlignment="1">
      <alignment/>
    </xf>
    <xf numFmtId="0" fontId="0" fillId="0" borderId="62" xfId="0" applyBorder="1" applyAlignment="1">
      <alignment/>
    </xf>
    <xf numFmtId="2" fontId="1" fillId="2" borderId="0" xfId="0" applyNumberFormat="1" applyFont="1" applyFill="1" applyBorder="1" applyAlignment="1">
      <alignment horizontal="left" indent="1"/>
    </xf>
    <xf numFmtId="0" fontId="0" fillId="0" borderId="0" xfId="0" applyFill="1" applyBorder="1" applyAlignment="1">
      <alignment/>
    </xf>
    <xf numFmtId="0" fontId="19" fillId="0" borderId="0" xfId="0" applyFont="1" applyAlignment="1">
      <alignment/>
    </xf>
    <xf numFmtId="0" fontId="3" fillId="2" borderId="0" xfId="0" applyFont="1" applyFill="1" applyBorder="1" applyAlignment="1">
      <alignment/>
    </xf>
    <xf numFmtId="0" fontId="3" fillId="0" borderId="0" xfId="0" applyFont="1" applyBorder="1" applyAlignment="1">
      <alignment horizontal="left"/>
    </xf>
    <xf numFmtId="0" fontId="3" fillId="4" borderId="14" xfId="0" applyFont="1" applyFill="1" applyBorder="1" applyAlignment="1">
      <alignment/>
    </xf>
    <xf numFmtId="0" fontId="3" fillId="4" borderId="5" xfId="0" applyFont="1" applyFill="1" applyBorder="1" applyAlignment="1">
      <alignment/>
    </xf>
    <xf numFmtId="0" fontId="3" fillId="2" borderId="36" xfId="0" applyFont="1" applyFill="1" applyBorder="1" applyAlignment="1">
      <alignment/>
    </xf>
    <xf numFmtId="0" fontId="3" fillId="4" borderId="60" xfId="0" applyFont="1" applyFill="1" applyBorder="1" applyAlignment="1">
      <alignment/>
    </xf>
    <xf numFmtId="0" fontId="1" fillId="5" borderId="44" xfId="0" applyFont="1" applyFill="1" applyBorder="1" applyAlignment="1">
      <alignment/>
    </xf>
    <xf numFmtId="0" fontId="1" fillId="5" borderId="45" xfId="0" applyFont="1" applyFill="1" applyBorder="1" applyAlignment="1">
      <alignment/>
    </xf>
    <xf numFmtId="0" fontId="1" fillId="5" borderId="46" xfId="0" applyFont="1" applyFill="1" applyBorder="1" applyAlignment="1">
      <alignment/>
    </xf>
    <xf numFmtId="0" fontId="3" fillId="5" borderId="12" xfId="0" applyFont="1" applyFill="1" applyBorder="1" applyAlignment="1">
      <alignment/>
    </xf>
    <xf numFmtId="0" fontId="1" fillId="3" borderId="63" xfId="0" applyFont="1" applyFill="1" applyBorder="1" applyAlignment="1">
      <alignment/>
    </xf>
    <xf numFmtId="0" fontId="3" fillId="2" borderId="52" xfId="0" applyFont="1" applyFill="1" applyBorder="1" applyAlignment="1">
      <alignment/>
    </xf>
    <xf numFmtId="0" fontId="1" fillId="3" borderId="64" xfId="0" applyFont="1" applyFill="1" applyBorder="1" applyAlignment="1">
      <alignment horizontal="center"/>
    </xf>
    <xf numFmtId="0" fontId="1" fillId="4" borderId="44" xfId="0" applyFont="1" applyFill="1" applyBorder="1" applyAlignment="1">
      <alignment/>
    </xf>
    <xf numFmtId="0" fontId="1" fillId="4" borderId="45" xfId="0" applyFont="1" applyFill="1" applyBorder="1" applyAlignment="1">
      <alignment/>
    </xf>
    <xf numFmtId="0" fontId="1" fillId="4" borderId="60" xfId="0" applyFont="1" applyFill="1" applyBorder="1" applyAlignment="1">
      <alignment/>
    </xf>
    <xf numFmtId="0" fontId="3" fillId="0" borderId="22" xfId="0" applyFont="1" applyFill="1" applyBorder="1" applyAlignment="1">
      <alignment/>
    </xf>
    <xf numFmtId="0" fontId="1" fillId="3" borderId="27" xfId="0" applyFont="1" applyFill="1" applyBorder="1" applyAlignment="1">
      <alignment horizontal="center"/>
    </xf>
    <xf numFmtId="0" fontId="1" fillId="3" borderId="27" xfId="0" applyFont="1" applyFill="1" applyBorder="1" applyAlignment="1">
      <alignment/>
    </xf>
    <xf numFmtId="0" fontId="1" fillId="3" borderId="65" xfId="0" applyFont="1" applyFill="1" applyBorder="1" applyAlignment="1">
      <alignment/>
    </xf>
    <xf numFmtId="0" fontId="1" fillId="0" borderId="50" xfId="0" applyFont="1" applyBorder="1" applyAlignment="1">
      <alignment horizontal="center"/>
    </xf>
    <xf numFmtId="0" fontId="1" fillId="0" borderId="51" xfId="0" applyFont="1" applyBorder="1" applyAlignment="1">
      <alignment horizontal="center"/>
    </xf>
    <xf numFmtId="0" fontId="1" fillId="4" borderId="66" xfId="0" applyFont="1" applyFill="1" applyBorder="1" applyAlignment="1">
      <alignment horizontal="center"/>
    </xf>
    <xf numFmtId="0" fontId="1" fillId="3" borderId="59" xfId="0" applyFont="1" applyFill="1" applyBorder="1" applyAlignment="1">
      <alignment/>
    </xf>
    <xf numFmtId="0" fontId="1" fillId="0" borderId="67" xfId="0" applyFont="1" applyBorder="1" applyAlignment="1">
      <alignment horizontal="center"/>
    </xf>
    <xf numFmtId="0" fontId="1" fillId="0" borderId="35" xfId="0" applyFont="1" applyBorder="1" applyAlignment="1">
      <alignment horizontal="center"/>
    </xf>
    <xf numFmtId="0" fontId="1" fillId="3" borderId="68" xfId="0" applyFont="1" applyFill="1" applyBorder="1" applyAlignment="1">
      <alignment horizontal="center"/>
    </xf>
    <xf numFmtId="0" fontId="1" fillId="3" borderId="69" xfId="0" applyFont="1" applyFill="1" applyBorder="1" applyAlignment="1">
      <alignment horizontal="center"/>
    </xf>
    <xf numFmtId="0" fontId="1" fillId="0" borderId="68" xfId="0" applyFont="1" applyBorder="1" applyAlignment="1">
      <alignment horizontal="center"/>
    </xf>
    <xf numFmtId="0" fontId="1" fillId="0" borderId="39" xfId="0" applyFont="1" applyBorder="1" applyAlignment="1">
      <alignment horizontal="center"/>
    </xf>
    <xf numFmtId="0" fontId="1" fillId="3" borderId="61" xfId="0" applyFont="1" applyFill="1" applyBorder="1" applyAlignment="1">
      <alignment horizontal="center"/>
    </xf>
    <xf numFmtId="0" fontId="1" fillId="3" borderId="39" xfId="0" applyFont="1" applyFill="1" applyBorder="1" applyAlignment="1">
      <alignment horizontal="center"/>
    </xf>
    <xf numFmtId="0" fontId="1" fillId="0" borderId="15" xfId="0" applyFont="1" applyBorder="1" applyAlignment="1">
      <alignment/>
    </xf>
    <xf numFmtId="1" fontId="1" fillId="0" borderId="1" xfId="0" applyNumberFormat="1" applyFont="1" applyBorder="1" applyAlignment="1">
      <alignment/>
    </xf>
    <xf numFmtId="1" fontId="1" fillId="0" borderId="2" xfId="0" applyNumberFormat="1" applyFont="1" applyBorder="1" applyAlignment="1">
      <alignment/>
    </xf>
    <xf numFmtId="0" fontId="1" fillId="0" borderId="4" xfId="0" applyFont="1" applyBorder="1" applyAlignment="1">
      <alignment/>
    </xf>
    <xf numFmtId="2" fontId="1" fillId="0" borderId="9" xfId="0" applyNumberFormat="1" applyFont="1" applyBorder="1" applyAlignment="1">
      <alignment/>
    </xf>
    <xf numFmtId="0" fontId="1" fillId="0" borderId="30" xfId="0" applyFont="1" applyBorder="1" applyAlignment="1">
      <alignment/>
    </xf>
    <xf numFmtId="0" fontId="1" fillId="0" borderId="32" xfId="0" applyFont="1" applyBorder="1" applyAlignment="1">
      <alignment/>
    </xf>
    <xf numFmtId="2" fontId="3" fillId="0" borderId="70" xfId="0" applyNumberFormat="1" applyFont="1" applyBorder="1" applyAlignment="1">
      <alignment/>
    </xf>
    <xf numFmtId="0" fontId="0" fillId="0" borderId="53" xfId="0" applyBorder="1" applyAlignment="1">
      <alignment/>
    </xf>
    <xf numFmtId="2" fontId="3" fillId="0" borderId="49" xfId="0" applyNumberFormat="1" applyFont="1" applyBorder="1" applyAlignment="1">
      <alignment/>
    </xf>
    <xf numFmtId="1" fontId="3" fillId="0" borderId="52" xfId="0" applyNumberFormat="1" applyFont="1" applyBorder="1" applyAlignment="1">
      <alignment/>
    </xf>
    <xf numFmtId="0" fontId="0" fillId="4" borderId="49" xfId="0" applyFill="1" applyBorder="1" applyAlignment="1">
      <alignment horizontal="right"/>
    </xf>
    <xf numFmtId="0" fontId="0" fillId="4" borderId="48" xfId="0" applyFill="1" applyBorder="1" applyAlignment="1">
      <alignment horizontal="right"/>
    </xf>
    <xf numFmtId="0" fontId="0" fillId="4" borderId="52" xfId="0" applyFill="1" applyBorder="1" applyAlignment="1">
      <alignment horizontal="right"/>
    </xf>
    <xf numFmtId="2" fontId="1" fillId="5" borderId="49" xfId="0" applyNumberFormat="1" applyFont="1" applyFill="1" applyBorder="1" applyAlignment="1">
      <alignment/>
    </xf>
    <xf numFmtId="2" fontId="1" fillId="4" borderId="71" xfId="0" applyNumberFormat="1" applyFont="1" applyFill="1" applyBorder="1" applyAlignment="1">
      <alignment/>
    </xf>
    <xf numFmtId="2" fontId="1" fillId="4" borderId="30" xfId="0" applyNumberFormat="1" applyFont="1" applyFill="1" applyBorder="1" applyAlignment="1">
      <alignment/>
    </xf>
    <xf numFmtId="2" fontId="1" fillId="4" borderId="33" xfId="0" applyNumberFormat="1" applyFont="1" applyFill="1" applyBorder="1" applyAlignment="1">
      <alignment/>
    </xf>
    <xf numFmtId="0" fontId="1" fillId="4" borderId="50" xfId="0" applyFont="1" applyFill="1" applyBorder="1" applyAlignment="1">
      <alignment/>
    </xf>
    <xf numFmtId="0" fontId="1" fillId="4" borderId="31" xfId="0" applyFont="1" applyFill="1" applyBorder="1" applyAlignment="1">
      <alignment/>
    </xf>
    <xf numFmtId="0" fontId="1" fillId="4" borderId="53" xfId="0" applyFont="1" applyFill="1" applyBorder="1" applyAlignment="1">
      <alignment/>
    </xf>
    <xf numFmtId="2" fontId="1" fillId="5" borderId="71" xfId="0" applyNumberFormat="1" applyFont="1" applyFill="1" applyBorder="1" applyAlignment="1">
      <alignment/>
    </xf>
    <xf numFmtId="2" fontId="1" fillId="5" borderId="30" xfId="0" applyNumberFormat="1" applyFont="1" applyFill="1" applyBorder="1" applyAlignment="1">
      <alignment/>
    </xf>
    <xf numFmtId="2" fontId="1" fillId="5" borderId="33" xfId="0" applyNumberFormat="1" applyFont="1" applyFill="1" applyBorder="1" applyAlignment="1">
      <alignment/>
    </xf>
    <xf numFmtId="2" fontId="1" fillId="5" borderId="51" xfId="0" applyNumberFormat="1" applyFont="1" applyFill="1" applyBorder="1" applyAlignment="1">
      <alignment/>
    </xf>
    <xf numFmtId="2" fontId="1" fillId="5" borderId="32" xfId="0" applyNumberFormat="1" applyFont="1" applyFill="1" applyBorder="1" applyAlignment="1">
      <alignment/>
    </xf>
    <xf numFmtId="2" fontId="1" fillId="5" borderId="34" xfId="0" applyNumberFormat="1" applyFont="1" applyFill="1" applyBorder="1" applyAlignment="1">
      <alignment/>
    </xf>
    <xf numFmtId="0" fontId="1" fillId="5" borderId="71" xfId="0" applyFont="1" applyFill="1" applyBorder="1" applyAlignment="1">
      <alignment/>
    </xf>
    <xf numFmtId="0" fontId="1" fillId="5" borderId="30" xfId="0" applyFont="1" applyFill="1" applyBorder="1" applyAlignment="1">
      <alignment/>
    </xf>
    <xf numFmtId="0" fontId="1" fillId="5" borderId="33" xfId="0" applyFont="1" applyFill="1" applyBorder="1" applyAlignment="1">
      <alignment/>
    </xf>
    <xf numFmtId="0" fontId="1" fillId="5" borderId="50" xfId="0" applyFont="1" applyFill="1" applyBorder="1" applyAlignment="1">
      <alignment/>
    </xf>
    <xf numFmtId="0" fontId="1" fillId="5" borderId="31" xfId="0" applyFont="1" applyFill="1" applyBorder="1" applyAlignment="1">
      <alignment/>
    </xf>
    <xf numFmtId="0" fontId="1" fillId="5" borderId="53" xfId="0" applyFont="1" applyFill="1" applyBorder="1" applyAlignment="1">
      <alignment/>
    </xf>
    <xf numFmtId="0" fontId="17" fillId="4" borderId="60" xfId="0" applyFont="1" applyFill="1" applyBorder="1" applyAlignment="1">
      <alignment/>
    </xf>
    <xf numFmtId="0" fontId="1" fillId="0" borderId="45" xfId="0" applyFont="1" applyBorder="1" applyAlignment="1">
      <alignment/>
    </xf>
    <xf numFmtId="0" fontId="1" fillId="5" borderId="60" xfId="0" applyFont="1" applyFill="1" applyBorder="1" applyAlignment="1">
      <alignment/>
    </xf>
    <xf numFmtId="0" fontId="3" fillId="4" borderId="49" xfId="0" applyFont="1" applyFill="1" applyBorder="1" applyAlignment="1">
      <alignment/>
    </xf>
    <xf numFmtId="0" fontId="1" fillId="4" borderId="48" xfId="0" applyFont="1" applyFill="1" applyBorder="1" applyAlignment="1">
      <alignment/>
    </xf>
    <xf numFmtId="0" fontId="1" fillId="4" borderId="52" xfId="0" applyFont="1" applyFill="1" applyBorder="1" applyAlignment="1">
      <alignment/>
    </xf>
    <xf numFmtId="2" fontId="1" fillId="4" borderId="50" xfId="0" applyNumberFormat="1" applyFont="1" applyFill="1" applyBorder="1" applyAlignment="1">
      <alignment/>
    </xf>
    <xf numFmtId="2" fontId="1" fillId="4" borderId="31" xfId="0" applyNumberFormat="1" applyFont="1" applyFill="1" applyBorder="1" applyAlignment="1">
      <alignment/>
    </xf>
    <xf numFmtId="2" fontId="1" fillId="4" borderId="53" xfId="0" applyNumberFormat="1" applyFont="1" applyFill="1" applyBorder="1" applyAlignment="1">
      <alignment/>
    </xf>
    <xf numFmtId="2" fontId="1" fillId="4" borderId="69" xfId="0" applyNumberFormat="1" applyFont="1" applyFill="1" applyBorder="1" applyAlignment="1">
      <alignment/>
    </xf>
    <xf numFmtId="2" fontId="1" fillId="4" borderId="42" xfId="0" applyNumberFormat="1" applyFont="1" applyFill="1" applyBorder="1" applyAlignment="1">
      <alignment/>
    </xf>
    <xf numFmtId="2" fontId="1" fillId="4" borderId="59" xfId="0" applyNumberFormat="1" applyFont="1" applyFill="1" applyBorder="1" applyAlignment="1">
      <alignment/>
    </xf>
    <xf numFmtId="2" fontId="3" fillId="4" borderId="51" xfId="0" applyNumberFormat="1" applyFont="1" applyFill="1" applyBorder="1" applyAlignment="1">
      <alignment/>
    </xf>
    <xf numFmtId="2" fontId="3" fillId="4" borderId="32" xfId="0" applyNumberFormat="1" applyFont="1" applyFill="1" applyBorder="1" applyAlignment="1">
      <alignment/>
    </xf>
    <xf numFmtId="2" fontId="3" fillId="4" borderId="34" xfId="0" applyNumberFormat="1" applyFont="1" applyFill="1" applyBorder="1" applyAlignment="1">
      <alignment/>
    </xf>
    <xf numFmtId="2" fontId="3" fillId="5" borderId="51" xfId="0" applyNumberFormat="1" applyFont="1" applyFill="1" applyBorder="1" applyAlignment="1">
      <alignment/>
    </xf>
    <xf numFmtId="2" fontId="3" fillId="5" borderId="32" xfId="0" applyNumberFormat="1" applyFont="1" applyFill="1" applyBorder="1" applyAlignment="1">
      <alignment/>
    </xf>
    <xf numFmtId="2" fontId="3" fillId="5" borderId="34" xfId="0" applyNumberFormat="1" applyFont="1" applyFill="1" applyBorder="1" applyAlignment="1">
      <alignment/>
    </xf>
    <xf numFmtId="0" fontId="19" fillId="3" borderId="0" xfId="0" applyFont="1" applyFill="1" applyAlignment="1">
      <alignment/>
    </xf>
    <xf numFmtId="0" fontId="1" fillId="0" borderId="48" xfId="0" applyFont="1" applyBorder="1" applyAlignment="1">
      <alignment/>
    </xf>
    <xf numFmtId="0" fontId="1" fillId="0" borderId="50" xfId="0" applyFont="1" applyBorder="1" applyAlignment="1">
      <alignment/>
    </xf>
    <xf numFmtId="0" fontId="1" fillId="0" borderId="51" xfId="0" applyFont="1" applyBorder="1" applyAlignment="1">
      <alignment/>
    </xf>
    <xf numFmtId="0" fontId="1" fillId="3" borderId="53" xfId="0" applyFont="1" applyFill="1" applyBorder="1" applyAlignment="1">
      <alignment/>
    </xf>
    <xf numFmtId="2" fontId="1" fillId="3" borderId="53" xfId="0" applyNumberFormat="1" applyFont="1" applyFill="1" applyBorder="1" applyAlignment="1">
      <alignment/>
    </xf>
    <xf numFmtId="0" fontId="1" fillId="4" borderId="14" xfId="0" applyFont="1" applyFill="1" applyBorder="1" applyAlignment="1">
      <alignment horizontal="left"/>
    </xf>
    <xf numFmtId="0" fontId="1" fillId="4" borderId="5" xfId="0" applyFont="1" applyFill="1" applyBorder="1" applyAlignment="1">
      <alignment horizontal="left"/>
    </xf>
    <xf numFmtId="0" fontId="7" fillId="4" borderId="7" xfId="0" applyFont="1" applyFill="1" applyBorder="1" applyAlignment="1">
      <alignment/>
    </xf>
    <xf numFmtId="0" fontId="0" fillId="5" borderId="9" xfId="0" applyFill="1" applyBorder="1" applyAlignment="1">
      <alignment/>
    </xf>
    <xf numFmtId="0" fontId="0" fillId="4" borderId="14" xfId="0" applyFill="1" applyBorder="1" applyAlignment="1">
      <alignment/>
    </xf>
    <xf numFmtId="0" fontId="1" fillId="4" borderId="16" xfId="0" applyFont="1" applyFill="1" applyBorder="1" applyAlignment="1">
      <alignment/>
    </xf>
    <xf numFmtId="0" fontId="7" fillId="4" borderId="13" xfId="0" applyFont="1" applyFill="1" applyBorder="1" applyAlignment="1">
      <alignment/>
    </xf>
    <xf numFmtId="0" fontId="1" fillId="4" borderId="66" xfId="0" applyFont="1" applyFill="1" applyBorder="1" applyAlignment="1">
      <alignment/>
    </xf>
    <xf numFmtId="0" fontId="0" fillId="4" borderId="41" xfId="0" applyFill="1" applyBorder="1" applyAlignment="1">
      <alignment/>
    </xf>
    <xf numFmtId="0" fontId="1" fillId="4" borderId="72" xfId="0" applyFont="1" applyFill="1" applyBorder="1" applyAlignment="1">
      <alignment/>
    </xf>
    <xf numFmtId="0" fontId="1" fillId="4" borderId="18" xfId="0" applyFont="1" applyFill="1" applyBorder="1" applyAlignment="1">
      <alignment/>
    </xf>
    <xf numFmtId="0" fontId="0" fillId="5" borderId="33" xfId="0" applyFill="1" applyBorder="1" applyAlignment="1">
      <alignment/>
    </xf>
    <xf numFmtId="0" fontId="1" fillId="5" borderId="59" xfId="0" applyFont="1" applyFill="1" applyBorder="1" applyAlignment="1">
      <alignment/>
    </xf>
    <xf numFmtId="0" fontId="0" fillId="5" borderId="73" xfId="0" applyFill="1" applyBorder="1" applyAlignment="1">
      <alignment/>
    </xf>
    <xf numFmtId="0" fontId="0" fillId="5" borderId="6" xfId="0" applyFill="1" applyBorder="1" applyAlignment="1">
      <alignment/>
    </xf>
    <xf numFmtId="0" fontId="1" fillId="4" borderId="12" xfId="0" applyFont="1" applyFill="1" applyBorder="1" applyAlignment="1">
      <alignment horizontal="center"/>
    </xf>
    <xf numFmtId="0" fontId="1" fillId="4" borderId="11" xfId="0" applyFont="1" applyFill="1" applyBorder="1" applyAlignment="1">
      <alignment horizontal="center"/>
    </xf>
    <xf numFmtId="0" fontId="1" fillId="4" borderId="10" xfId="0" applyFont="1" applyFill="1" applyBorder="1" applyAlignment="1">
      <alignment horizontal="center"/>
    </xf>
    <xf numFmtId="0" fontId="0" fillId="4" borderId="67" xfId="0" applyFill="1" applyBorder="1" applyAlignment="1">
      <alignment/>
    </xf>
    <xf numFmtId="0" fontId="0" fillId="4" borderId="36" xfId="0" applyFill="1" applyBorder="1" applyAlignment="1">
      <alignment/>
    </xf>
    <xf numFmtId="0" fontId="0" fillId="4" borderId="68" xfId="0" applyFill="1" applyBorder="1" applyAlignment="1">
      <alignment/>
    </xf>
    <xf numFmtId="0" fontId="0" fillId="4" borderId="43" xfId="0" applyFill="1" applyBorder="1" applyAlignment="1">
      <alignment/>
    </xf>
    <xf numFmtId="0" fontId="20" fillId="3" borderId="0" xfId="0" applyFont="1" applyFill="1" applyAlignment="1">
      <alignment/>
    </xf>
    <xf numFmtId="0" fontId="3" fillId="0" borderId="0" xfId="0" applyFont="1" applyAlignment="1">
      <alignment/>
    </xf>
    <xf numFmtId="0" fontId="0" fillId="3" borderId="0" xfId="0" applyFill="1" applyAlignment="1">
      <alignment/>
    </xf>
    <xf numFmtId="0" fontId="0" fillId="3" borderId="1" xfId="0" applyFill="1" applyBorder="1" applyAlignment="1">
      <alignment/>
    </xf>
    <xf numFmtId="0" fontId="0" fillId="3" borderId="17" xfId="0" applyFill="1" applyBorder="1" applyAlignment="1">
      <alignment/>
    </xf>
    <xf numFmtId="0" fontId="0" fillId="3" borderId="6" xfId="0" applyFill="1" applyBorder="1" applyAlignment="1">
      <alignment/>
    </xf>
    <xf numFmtId="0" fontId="0" fillId="3" borderId="2" xfId="0" applyFill="1" applyBorder="1" applyAlignment="1">
      <alignment/>
    </xf>
    <xf numFmtId="0" fontId="0" fillId="3" borderId="18" xfId="0" applyFill="1" applyBorder="1" applyAlignment="1">
      <alignment/>
    </xf>
    <xf numFmtId="0" fontId="0" fillId="3" borderId="8" xfId="0" applyFill="1" applyBorder="1" applyAlignment="1">
      <alignment/>
    </xf>
    <xf numFmtId="0" fontId="0" fillId="3" borderId="9" xfId="0" applyFill="1" applyBorder="1" applyAlignment="1">
      <alignment/>
    </xf>
    <xf numFmtId="177" fontId="1" fillId="3" borderId="17" xfId="0" applyNumberFormat="1" applyFont="1" applyFill="1" applyBorder="1" applyAlignment="1">
      <alignment/>
    </xf>
    <xf numFmtId="177" fontId="1" fillId="3" borderId="6" xfId="0" applyNumberFormat="1" applyFont="1" applyFill="1" applyBorder="1" applyAlignment="1">
      <alignment/>
    </xf>
    <xf numFmtId="177" fontId="1" fillId="3" borderId="18" xfId="0" applyNumberFormat="1" applyFont="1" applyFill="1" applyBorder="1" applyAlignment="1">
      <alignment/>
    </xf>
    <xf numFmtId="177" fontId="1" fillId="3" borderId="9" xfId="0" applyNumberFormat="1" applyFont="1" applyFill="1" applyBorder="1" applyAlignment="1">
      <alignment/>
    </xf>
    <xf numFmtId="0" fontId="0" fillId="3" borderId="31" xfId="0" applyFill="1" applyBorder="1" applyAlignment="1">
      <alignment/>
    </xf>
    <xf numFmtId="1" fontId="0" fillId="3" borderId="53" xfId="0" applyNumberFormat="1" applyFill="1" applyBorder="1" applyAlignment="1">
      <alignment/>
    </xf>
    <xf numFmtId="178" fontId="0" fillId="3" borderId="53" xfId="0" applyNumberFormat="1" applyFill="1" applyBorder="1" applyAlignment="1">
      <alignment/>
    </xf>
    <xf numFmtId="0" fontId="0" fillId="3" borderId="56" xfId="0" applyFill="1" applyBorder="1" applyAlignment="1">
      <alignment/>
    </xf>
    <xf numFmtId="0" fontId="0" fillId="3" borderId="54" xfId="0" applyFill="1" applyBorder="1" applyAlignment="1">
      <alignment/>
    </xf>
    <xf numFmtId="0" fontId="0" fillId="3" borderId="55" xfId="0" applyFill="1" applyBorder="1" applyAlignment="1">
      <alignment/>
    </xf>
    <xf numFmtId="0" fontId="0" fillId="3" borderId="73" xfId="0" applyFill="1" applyBorder="1" applyAlignment="1">
      <alignment/>
    </xf>
    <xf numFmtId="0" fontId="0" fillId="3" borderId="58" xfId="0" applyFill="1" applyBorder="1" applyAlignment="1">
      <alignment/>
    </xf>
    <xf numFmtId="0" fontId="0" fillId="3" borderId="42" xfId="0" applyFill="1" applyBorder="1" applyAlignment="1">
      <alignment/>
    </xf>
    <xf numFmtId="0" fontId="0" fillId="3" borderId="57" xfId="0" applyFill="1" applyBorder="1" applyAlignment="1">
      <alignment/>
    </xf>
    <xf numFmtId="179" fontId="0" fillId="3" borderId="59" xfId="0" applyNumberFormat="1" applyFill="1" applyBorder="1" applyAlignment="1">
      <alignment/>
    </xf>
    <xf numFmtId="178" fontId="0" fillId="3" borderId="59" xfId="0" applyNumberFormat="1" applyFill="1" applyBorder="1" applyAlignment="1">
      <alignment/>
    </xf>
    <xf numFmtId="0" fontId="1" fillId="0" borderId="65" xfId="0" applyFont="1" applyBorder="1" applyAlignment="1">
      <alignment horizontal="center"/>
    </xf>
    <xf numFmtId="0" fontId="1" fillId="0" borderId="21" xfId="0" applyFont="1" applyBorder="1" applyAlignment="1">
      <alignment horizontal="center"/>
    </xf>
    <xf numFmtId="0" fontId="1" fillId="0" borderId="38" xfId="0" applyFont="1" applyBorder="1" applyAlignment="1">
      <alignment horizontal="center"/>
    </xf>
    <xf numFmtId="0" fontId="1" fillId="3" borderId="26" xfId="0" applyFont="1" applyFill="1" applyBorder="1" applyAlignment="1">
      <alignment horizontal="center"/>
    </xf>
    <xf numFmtId="0" fontId="1" fillId="3" borderId="38" xfId="0" applyFont="1" applyFill="1" applyBorder="1" applyAlignment="1">
      <alignment horizontal="center"/>
    </xf>
    <xf numFmtId="0" fontId="1" fillId="0" borderId="22" xfId="0" applyFont="1" applyBorder="1" applyAlignment="1">
      <alignment horizontal="center"/>
    </xf>
    <xf numFmtId="0" fontId="1" fillId="3" borderId="66" xfId="0" applyFont="1" applyFill="1" applyBorder="1" applyAlignment="1">
      <alignment horizontal="center"/>
    </xf>
    <xf numFmtId="0" fontId="1" fillId="3" borderId="65" xfId="0" applyFont="1" applyFill="1" applyBorder="1" applyAlignment="1">
      <alignment horizontal="center"/>
    </xf>
    <xf numFmtId="0" fontId="1" fillId="0" borderId="36" xfId="0" applyFont="1" applyBorder="1" applyAlignment="1">
      <alignment horizontal="center"/>
    </xf>
    <xf numFmtId="0" fontId="1" fillId="3" borderId="63" xfId="0" applyFont="1" applyFill="1" applyBorder="1" applyAlignment="1">
      <alignment horizontal="center"/>
    </xf>
    <xf numFmtId="0" fontId="1" fillId="3" borderId="43" xfId="0" applyFont="1" applyFill="1" applyBorder="1" applyAlignment="1">
      <alignment horizontal="center"/>
    </xf>
    <xf numFmtId="0" fontId="3" fillId="0" borderId="49" xfId="0" applyFont="1" applyBorder="1" applyAlignment="1">
      <alignment/>
    </xf>
    <xf numFmtId="0" fontId="3" fillId="0" borderId="67" xfId="0" applyFont="1" applyBorder="1" applyAlignment="1">
      <alignment/>
    </xf>
    <xf numFmtId="0" fontId="21" fillId="0" borderId="0" xfId="0" applyFont="1" applyAlignment="1">
      <alignment/>
    </xf>
    <xf numFmtId="0" fontId="1" fillId="0" borderId="74" xfId="0" applyFont="1" applyBorder="1" applyAlignment="1">
      <alignment horizontal="center"/>
    </xf>
    <xf numFmtId="0" fontId="0" fillId="4" borderId="12" xfId="0" applyFill="1" applyBorder="1" applyAlignment="1">
      <alignment/>
    </xf>
    <xf numFmtId="0" fontId="0" fillId="4" borderId="11" xfId="0" applyFill="1" applyBorder="1" applyAlignment="1">
      <alignment/>
    </xf>
    <xf numFmtId="0" fontId="0" fillId="0" borderId="60" xfId="0" applyFill="1" applyBorder="1" applyAlignment="1">
      <alignment/>
    </xf>
    <xf numFmtId="0" fontId="1" fillId="2" borderId="0" xfId="0" applyFont="1" applyFill="1" applyBorder="1" applyAlignment="1">
      <alignment horizontal="left"/>
    </xf>
    <xf numFmtId="0" fontId="1" fillId="0" borderId="0" xfId="0" applyFont="1" applyAlignment="1">
      <alignment horizontal="left"/>
    </xf>
    <xf numFmtId="0" fontId="6" fillId="2" borderId="0" xfId="0" applyFont="1" applyFill="1" applyBorder="1" applyAlignment="1">
      <alignment/>
    </xf>
    <xf numFmtId="0" fontId="24" fillId="2" borderId="0" xfId="0" applyFont="1" applyFill="1" applyAlignment="1">
      <alignment/>
    </xf>
    <xf numFmtId="0" fontId="0" fillId="3" borderId="46" xfId="0" applyFill="1" applyBorder="1" applyAlignment="1">
      <alignment/>
    </xf>
    <xf numFmtId="2" fontId="0" fillId="3" borderId="9" xfId="0" applyNumberFormat="1" applyFill="1" applyBorder="1" applyAlignment="1">
      <alignment/>
    </xf>
    <xf numFmtId="2" fontId="0" fillId="0" borderId="8" xfId="0" applyNumberFormat="1" applyFill="1" applyBorder="1" applyAlignment="1">
      <alignment/>
    </xf>
    <xf numFmtId="2" fontId="0" fillId="0" borderId="7" xfId="0" applyNumberFormat="1" applyBorder="1" applyAlignment="1">
      <alignment/>
    </xf>
    <xf numFmtId="0" fontId="1" fillId="0" borderId="71" xfId="0" applyFont="1" applyBorder="1" applyAlignment="1">
      <alignment/>
    </xf>
    <xf numFmtId="0" fontId="1" fillId="0" borderId="30" xfId="0" applyFont="1" applyBorder="1" applyAlignment="1">
      <alignment horizontal="center"/>
    </xf>
    <xf numFmtId="0" fontId="1" fillId="3" borderId="33" xfId="0" applyFont="1" applyFill="1" applyBorder="1" applyAlignment="1">
      <alignment/>
    </xf>
    <xf numFmtId="0" fontId="1" fillId="3" borderId="34" xfId="0" applyFont="1" applyFill="1" applyBorder="1" applyAlignment="1">
      <alignment/>
    </xf>
    <xf numFmtId="0" fontId="1" fillId="0" borderId="71" xfId="0" applyFont="1" applyFill="1" applyBorder="1" applyAlignment="1">
      <alignment/>
    </xf>
    <xf numFmtId="0" fontId="1" fillId="0" borderId="33" xfId="0" applyFont="1" applyFill="1" applyBorder="1" applyAlignment="1">
      <alignment/>
    </xf>
    <xf numFmtId="0" fontId="1" fillId="0" borderId="50" xfId="0" applyFont="1" applyFill="1" applyBorder="1" applyAlignment="1">
      <alignment/>
    </xf>
    <xf numFmtId="0" fontId="1" fillId="0" borderId="53" xfId="0" applyFont="1" applyFill="1" applyBorder="1" applyAlignment="1">
      <alignment/>
    </xf>
    <xf numFmtId="0" fontId="1" fillId="0" borderId="51" xfId="0" applyFont="1" applyFill="1" applyBorder="1" applyAlignment="1">
      <alignment/>
    </xf>
    <xf numFmtId="0" fontId="1" fillId="0" borderId="34" xfId="0" applyFont="1" applyFill="1" applyBorder="1" applyAlignment="1">
      <alignment/>
    </xf>
    <xf numFmtId="0" fontId="1" fillId="3" borderId="43" xfId="0" applyFont="1" applyFill="1" applyBorder="1" applyAlignment="1">
      <alignment/>
    </xf>
    <xf numFmtId="0" fontId="0" fillId="4" borderId="60" xfId="0" applyFill="1" applyBorder="1" applyAlignment="1">
      <alignment/>
    </xf>
    <xf numFmtId="0" fontId="1" fillId="3" borderId="75" xfId="0" applyFont="1" applyFill="1" applyBorder="1" applyAlignment="1">
      <alignment horizontal="center"/>
    </xf>
    <xf numFmtId="0" fontId="1" fillId="3" borderId="17" xfId="0" applyFont="1" applyFill="1" applyBorder="1" applyAlignment="1">
      <alignment horizontal="center"/>
    </xf>
    <xf numFmtId="0" fontId="1" fillId="3" borderId="72" xfId="0" applyFont="1" applyFill="1" applyBorder="1" applyAlignment="1">
      <alignment horizontal="center"/>
    </xf>
    <xf numFmtId="0" fontId="1" fillId="3" borderId="73" xfId="0" applyFont="1" applyFill="1" applyBorder="1" applyAlignment="1">
      <alignment horizontal="center"/>
    </xf>
    <xf numFmtId="0" fontId="1" fillId="0" borderId="55" xfId="0" applyFont="1" applyFill="1" applyBorder="1" applyAlignment="1">
      <alignment horizontal="center"/>
    </xf>
    <xf numFmtId="0" fontId="1" fillId="3" borderId="18" xfId="0" applyFont="1" applyFill="1" applyBorder="1" applyAlignment="1">
      <alignment horizontal="center"/>
    </xf>
    <xf numFmtId="0" fontId="1" fillId="0" borderId="47" xfId="0" applyFont="1" applyBorder="1" applyAlignment="1">
      <alignment/>
    </xf>
    <xf numFmtId="0" fontId="1" fillId="0" borderId="76" xfId="0" applyFont="1" applyBorder="1" applyAlignment="1">
      <alignment/>
    </xf>
    <xf numFmtId="0" fontId="1" fillId="0" borderId="77" xfId="0" applyFont="1" applyBorder="1" applyAlignment="1">
      <alignment/>
    </xf>
    <xf numFmtId="0" fontId="1" fillId="0" borderId="25" xfId="0" applyFont="1" applyBorder="1" applyAlignment="1">
      <alignment/>
    </xf>
    <xf numFmtId="0" fontId="1" fillId="0" borderId="37" xfId="0" applyFont="1" applyBorder="1" applyAlignment="1">
      <alignment/>
    </xf>
    <xf numFmtId="176" fontId="0" fillId="3" borderId="45" xfId="0" applyNumberFormat="1" applyFill="1" applyBorder="1" applyAlignment="1">
      <alignment/>
    </xf>
    <xf numFmtId="176" fontId="0" fillId="3" borderId="46" xfId="0" applyNumberFormat="1" applyFill="1" applyBorder="1" applyAlignment="1">
      <alignment/>
    </xf>
    <xf numFmtId="0" fontId="0" fillId="0" borderId="48" xfId="0" applyFill="1" applyBorder="1" applyAlignment="1">
      <alignment/>
    </xf>
    <xf numFmtId="0" fontId="0" fillId="0" borderId="71" xfId="0" applyBorder="1" applyAlignment="1">
      <alignment/>
    </xf>
    <xf numFmtId="0" fontId="0" fillId="3" borderId="30" xfId="0" applyFill="1" applyBorder="1" applyAlignment="1">
      <alignment/>
    </xf>
    <xf numFmtId="0" fontId="0" fillId="6" borderId="61"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2.wmf" /><Relationship Id="rId3" Type="http://schemas.openxmlformats.org/officeDocument/2006/relationships/image" Target="../media/image13.wmf" /><Relationship Id="rId4" Type="http://schemas.openxmlformats.org/officeDocument/2006/relationships/image" Target="../media/image14.wmf" /><Relationship Id="rId5" Type="http://schemas.openxmlformats.org/officeDocument/2006/relationships/image" Target="../media/image15.wmf" /><Relationship Id="rId6" Type="http://schemas.openxmlformats.org/officeDocument/2006/relationships/image" Target="../media/image16.wmf" /><Relationship Id="rId7" Type="http://schemas.openxmlformats.org/officeDocument/2006/relationships/image" Target="../media/image17.wmf" /><Relationship Id="rId8" Type="http://schemas.openxmlformats.org/officeDocument/2006/relationships/image" Target="../media/image10.wmf" /><Relationship Id="rId9" Type="http://schemas.openxmlformats.org/officeDocument/2006/relationships/image" Target="../media/image11.wmf" /><Relationship Id="rId10" Type="http://schemas.openxmlformats.org/officeDocument/2006/relationships/image" Target="../media/image1.wmf" /><Relationship Id="rId11" Type="http://schemas.openxmlformats.org/officeDocument/2006/relationships/image" Target="../media/image3.wmf" /><Relationship Id="rId12" Type="http://schemas.openxmlformats.org/officeDocument/2006/relationships/image" Target="../media/image4.wmf" /><Relationship Id="rId13" Type="http://schemas.openxmlformats.org/officeDocument/2006/relationships/image" Target="../media/image6.wmf" /><Relationship Id="rId14" Type="http://schemas.openxmlformats.org/officeDocument/2006/relationships/image" Target="../media/image9.emf" /><Relationship Id="rId15" Type="http://schemas.openxmlformats.org/officeDocument/2006/relationships/image" Target="../media/image2.emf" /><Relationship Id="rId16" Type="http://schemas.openxmlformats.org/officeDocument/2006/relationships/image" Target="../media/image7.wmf" /><Relationship Id="rId17" Type="http://schemas.openxmlformats.org/officeDocument/2006/relationships/image" Target="../media/image8.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oleObject" Target="../embeddings/oleObject_0_5.bin" /><Relationship Id="rId7" Type="http://schemas.openxmlformats.org/officeDocument/2006/relationships/oleObject" Target="../embeddings/oleObject_0_6.bin" /><Relationship Id="rId8" Type="http://schemas.openxmlformats.org/officeDocument/2006/relationships/oleObject" Target="../embeddings/oleObject_0_7.bin" /><Relationship Id="rId9" Type="http://schemas.openxmlformats.org/officeDocument/2006/relationships/oleObject" Target="../embeddings/oleObject_0_8.bin" /><Relationship Id="rId10" Type="http://schemas.openxmlformats.org/officeDocument/2006/relationships/oleObject" Target="../embeddings/oleObject_0_9.bin" /><Relationship Id="rId11" Type="http://schemas.openxmlformats.org/officeDocument/2006/relationships/oleObject" Target="../embeddings/oleObject_0_10.bin" /><Relationship Id="rId12" Type="http://schemas.openxmlformats.org/officeDocument/2006/relationships/oleObject" Target="../embeddings/oleObject_0_11.bin" /><Relationship Id="rId13" Type="http://schemas.openxmlformats.org/officeDocument/2006/relationships/oleObject" Target="../embeddings/oleObject_0_12.bin" /><Relationship Id="rId14" Type="http://schemas.openxmlformats.org/officeDocument/2006/relationships/oleObject" Target="../embeddings/oleObject_0_13.bin" /><Relationship Id="rId15" Type="http://schemas.openxmlformats.org/officeDocument/2006/relationships/oleObject" Target="../embeddings/oleObject_0_14.bin" /><Relationship Id="rId16" Type="http://schemas.openxmlformats.org/officeDocument/2006/relationships/oleObject" Target="../embeddings/oleObject_0_15.bin" /><Relationship Id="rId17" Type="http://schemas.openxmlformats.org/officeDocument/2006/relationships/oleObject" Target="../embeddings/oleObject_0_16.bin" /><Relationship Id="rId18" Type="http://schemas.openxmlformats.org/officeDocument/2006/relationships/vmlDrawing" Target="../drawings/vmlDrawing1.vm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Y1238"/>
  <sheetViews>
    <sheetView tabSelected="1" zoomScaleSheetLayoutView="100" workbookViewId="0" topLeftCell="A1">
      <selection activeCell="B11" sqref="B11"/>
    </sheetView>
  </sheetViews>
  <sheetFormatPr defaultColWidth="9.140625" defaultRowHeight="12.75"/>
  <cols>
    <col min="1" max="1" width="28.28125" style="0" customWidth="1"/>
    <col min="2" max="2" width="19.00390625" style="0" customWidth="1"/>
    <col min="3" max="3" width="11.7109375" style="0" customWidth="1"/>
    <col min="4" max="4" width="28.140625" style="0" customWidth="1"/>
    <col min="5" max="5" width="4.28125" style="0" customWidth="1"/>
  </cols>
  <sheetData>
    <row r="1" spans="1:12" ht="12.75">
      <c r="A1" s="87" t="s">
        <v>406</v>
      </c>
      <c r="B1" s="87"/>
      <c r="C1" s="87"/>
      <c r="D1" s="87"/>
      <c r="E1" s="87"/>
      <c r="F1" s="87"/>
      <c r="G1" s="87"/>
      <c r="H1" s="87"/>
      <c r="I1" s="87"/>
      <c r="J1" s="87"/>
      <c r="K1" s="87"/>
      <c r="L1" s="87"/>
    </row>
    <row r="2" spans="1:12" ht="12.75">
      <c r="A2" s="87"/>
      <c r="B2" s="87"/>
      <c r="C2" s="87"/>
      <c r="D2" s="87"/>
      <c r="E2" s="87"/>
      <c r="F2" s="87"/>
      <c r="G2" s="87"/>
      <c r="H2" s="87"/>
      <c r="I2" s="87"/>
      <c r="J2" s="87"/>
      <c r="K2" s="87"/>
      <c r="L2" s="87"/>
    </row>
    <row r="3" spans="1:12" ht="22.5" customHeight="1">
      <c r="A3" s="87"/>
      <c r="B3" s="89" t="s">
        <v>258</v>
      </c>
      <c r="C3" s="87"/>
      <c r="D3" s="87"/>
      <c r="E3" s="87"/>
      <c r="F3" s="87"/>
      <c r="G3" s="87"/>
      <c r="H3" s="87"/>
      <c r="I3" s="87"/>
      <c r="J3" s="87"/>
      <c r="K3" s="87"/>
      <c r="L3" s="87"/>
    </row>
    <row r="4" spans="1:12" ht="19.5" customHeight="1">
      <c r="A4" s="87"/>
      <c r="B4" s="90" t="s">
        <v>259</v>
      </c>
      <c r="C4" s="87"/>
      <c r="D4" s="87"/>
      <c r="E4" s="87"/>
      <c r="F4" s="87"/>
      <c r="G4" s="87"/>
      <c r="H4" s="87"/>
      <c r="I4" s="87"/>
      <c r="J4" s="87"/>
      <c r="K4" s="87"/>
      <c r="L4" s="87"/>
    </row>
    <row r="5" spans="1:12" ht="15.75" customHeight="1">
      <c r="A5" s="87"/>
      <c r="B5" s="241"/>
      <c r="C5" s="87"/>
      <c r="D5" s="87"/>
      <c r="E5" s="87"/>
      <c r="F5" s="87"/>
      <c r="G5" s="87"/>
      <c r="H5" s="87"/>
      <c r="I5" s="87"/>
      <c r="J5" s="87"/>
      <c r="K5" s="87"/>
      <c r="L5" s="87"/>
    </row>
    <row r="6" spans="1:12" ht="15.75">
      <c r="A6" s="87"/>
      <c r="B6" s="91" t="s">
        <v>463</v>
      </c>
      <c r="C6" s="87"/>
      <c r="D6" s="87"/>
      <c r="E6" s="87"/>
      <c r="F6" s="87"/>
      <c r="G6" s="87"/>
      <c r="H6" s="87"/>
      <c r="I6" s="87"/>
      <c r="J6" s="87"/>
      <c r="K6" s="87"/>
      <c r="L6" s="87"/>
    </row>
    <row r="7" spans="1:12" ht="12.75">
      <c r="A7" s="87"/>
      <c r="B7" s="241"/>
      <c r="C7" s="87"/>
      <c r="D7" s="87"/>
      <c r="E7" s="87"/>
      <c r="F7" s="87"/>
      <c r="G7" s="87"/>
      <c r="H7" s="87"/>
      <c r="I7" s="87"/>
      <c r="J7" s="87"/>
      <c r="K7" s="87"/>
      <c r="L7" s="87"/>
    </row>
    <row r="8" spans="1:12" ht="15.75">
      <c r="A8" s="87"/>
      <c r="B8" s="88" t="s">
        <v>464</v>
      </c>
      <c r="C8" s="87"/>
      <c r="D8" s="87"/>
      <c r="E8" s="87"/>
      <c r="F8" s="87"/>
      <c r="G8" s="87"/>
      <c r="H8" s="87"/>
      <c r="I8" s="87"/>
      <c r="J8" s="87"/>
      <c r="K8" s="87"/>
      <c r="L8" s="87"/>
    </row>
    <row r="9" spans="1:12" ht="12.75">
      <c r="A9" s="87"/>
      <c r="B9" s="92" t="s">
        <v>625</v>
      </c>
      <c r="C9" s="87"/>
      <c r="D9" s="87"/>
      <c r="E9" s="87"/>
      <c r="F9" s="87"/>
      <c r="G9" s="87"/>
      <c r="H9" s="87"/>
      <c r="I9" s="87"/>
      <c r="J9" s="87"/>
      <c r="K9" s="87"/>
      <c r="L9" s="87"/>
    </row>
    <row r="10" spans="1:12" ht="12.75">
      <c r="A10" s="87"/>
      <c r="B10" s="87"/>
      <c r="C10" s="87"/>
      <c r="D10" s="87"/>
      <c r="E10" s="87"/>
      <c r="F10" s="87"/>
      <c r="G10" s="87"/>
      <c r="H10" s="87"/>
      <c r="I10" s="87"/>
      <c r="J10" s="87"/>
      <c r="K10" s="87"/>
      <c r="L10" s="87"/>
    </row>
    <row r="11" spans="1:12" ht="12.75">
      <c r="A11" s="87"/>
      <c r="B11" s="87"/>
      <c r="C11" s="87"/>
      <c r="D11" s="87"/>
      <c r="E11" s="87"/>
      <c r="F11" s="87"/>
      <c r="G11" s="87"/>
      <c r="H11" s="87"/>
      <c r="I11" s="87"/>
      <c r="J11" s="87"/>
      <c r="K11" s="87"/>
      <c r="L11" s="87"/>
    </row>
    <row r="12" spans="1:12" ht="15.75">
      <c r="A12" s="235" t="s">
        <v>260</v>
      </c>
      <c r="B12" s="87"/>
      <c r="C12" s="87"/>
      <c r="D12" s="87"/>
      <c r="E12" s="87"/>
      <c r="F12" s="87"/>
      <c r="G12" s="87"/>
      <c r="H12" s="87"/>
      <c r="I12" s="87"/>
      <c r="J12" s="87"/>
      <c r="K12" s="87"/>
      <c r="L12" s="87"/>
    </row>
    <row r="13" spans="1:12" ht="12.75">
      <c r="A13" s="225"/>
      <c r="B13" s="87"/>
      <c r="C13" s="87"/>
      <c r="D13" s="87"/>
      <c r="E13" s="87"/>
      <c r="F13" s="87"/>
      <c r="G13" s="87"/>
      <c r="H13" s="87"/>
      <c r="I13" s="87"/>
      <c r="J13" s="87"/>
      <c r="K13" s="87"/>
      <c r="L13" s="87"/>
    </row>
    <row r="14" spans="1:12" ht="12.75">
      <c r="A14" s="225" t="s">
        <v>467</v>
      </c>
      <c r="B14" s="87"/>
      <c r="C14" s="87"/>
      <c r="D14" s="87"/>
      <c r="E14" s="87"/>
      <c r="F14" s="87"/>
      <c r="G14" s="87"/>
      <c r="H14" s="87"/>
      <c r="I14" s="87"/>
      <c r="J14" s="87"/>
      <c r="K14" s="87"/>
      <c r="L14" s="87"/>
    </row>
    <row r="15" spans="1:12" ht="12.75">
      <c r="A15" s="225" t="s">
        <v>475</v>
      </c>
      <c r="B15" s="87"/>
      <c r="C15" s="87"/>
      <c r="D15" s="87"/>
      <c r="E15" s="87"/>
      <c r="F15" s="87"/>
      <c r="G15" s="87"/>
      <c r="H15" s="87"/>
      <c r="I15" s="87"/>
      <c r="J15" s="87"/>
      <c r="K15" s="87"/>
      <c r="L15" s="87"/>
    </row>
    <row r="16" spans="1:12" ht="12.75">
      <c r="A16" s="225" t="s">
        <v>476</v>
      </c>
      <c r="B16" s="87"/>
      <c r="C16" s="87"/>
      <c r="D16" s="87"/>
      <c r="E16" s="87"/>
      <c r="F16" s="87"/>
      <c r="G16" s="87"/>
      <c r="H16" s="87"/>
      <c r="I16" s="87"/>
      <c r="J16" s="87"/>
      <c r="K16" s="87"/>
      <c r="L16" s="87"/>
    </row>
    <row r="17" spans="1:12" ht="12.75">
      <c r="A17" s="225" t="s">
        <v>474</v>
      </c>
      <c r="B17" s="87"/>
      <c r="C17" s="87"/>
      <c r="D17" s="87"/>
      <c r="E17" s="87"/>
      <c r="F17" s="87"/>
      <c r="G17" s="87"/>
      <c r="H17" s="87"/>
      <c r="I17" s="87"/>
      <c r="J17" s="87"/>
      <c r="K17" s="87"/>
      <c r="L17" s="87"/>
    </row>
    <row r="18" spans="1:12" ht="12.75">
      <c r="A18" s="225" t="s">
        <v>492</v>
      </c>
      <c r="B18" s="87"/>
      <c r="C18" s="87"/>
      <c r="D18" s="87"/>
      <c r="E18" s="87"/>
      <c r="F18" s="87"/>
      <c r="G18" s="87"/>
      <c r="H18" s="87"/>
      <c r="I18" s="87"/>
      <c r="J18" s="87"/>
      <c r="K18" s="87"/>
      <c r="L18" s="87"/>
    </row>
    <row r="19" spans="1:12" ht="12.75">
      <c r="A19" s="225"/>
      <c r="B19" s="87"/>
      <c r="C19" s="87"/>
      <c r="D19" s="87"/>
      <c r="E19" s="87"/>
      <c r="F19" s="87"/>
      <c r="G19" s="87"/>
      <c r="H19" s="87"/>
      <c r="I19" s="87"/>
      <c r="J19" s="87"/>
      <c r="K19" s="87"/>
      <c r="L19" s="87"/>
    </row>
    <row r="20" spans="1:12" ht="12.75">
      <c r="A20" s="225" t="s">
        <v>477</v>
      </c>
      <c r="B20" s="87"/>
      <c r="C20" s="87"/>
      <c r="D20" s="87"/>
      <c r="E20" s="87"/>
      <c r="F20" s="87"/>
      <c r="G20" s="87"/>
      <c r="H20" s="87"/>
      <c r="I20" s="87"/>
      <c r="J20" s="87"/>
      <c r="K20" s="87"/>
      <c r="L20" s="87"/>
    </row>
    <row r="21" spans="1:12" ht="12.75">
      <c r="A21" s="225" t="s">
        <v>478</v>
      </c>
      <c r="B21" s="87"/>
      <c r="C21" s="87"/>
      <c r="D21" s="87"/>
      <c r="E21" s="87"/>
      <c r="F21" s="87"/>
      <c r="G21" s="87"/>
      <c r="H21" s="87"/>
      <c r="I21" s="87"/>
      <c r="J21" s="87"/>
      <c r="K21" s="87"/>
      <c r="L21" s="87"/>
    </row>
    <row r="22" spans="1:12" ht="12.75">
      <c r="A22" s="225" t="s">
        <v>468</v>
      </c>
      <c r="B22" s="87"/>
      <c r="C22" s="87"/>
      <c r="D22" s="87"/>
      <c r="E22" s="87"/>
      <c r="F22" s="87"/>
      <c r="G22" s="87"/>
      <c r="H22" s="87"/>
      <c r="I22" s="87"/>
      <c r="J22" s="87"/>
      <c r="K22" s="87"/>
      <c r="L22" s="87"/>
    </row>
    <row r="23" spans="1:12" ht="12.75">
      <c r="A23" s="225" t="s">
        <v>493</v>
      </c>
      <c r="B23" s="87"/>
      <c r="C23" s="87"/>
      <c r="D23" s="87"/>
      <c r="E23" s="87"/>
      <c r="F23" s="87"/>
      <c r="G23" s="87"/>
      <c r="H23" s="87"/>
      <c r="I23" s="87"/>
      <c r="J23" s="87"/>
      <c r="K23" s="87"/>
      <c r="L23" s="87"/>
    </row>
    <row r="24" spans="1:12" ht="12.75">
      <c r="A24" s="225" t="s">
        <v>494</v>
      </c>
      <c r="B24" s="87"/>
      <c r="C24" s="87"/>
      <c r="D24" s="87"/>
      <c r="E24" s="87"/>
      <c r="F24" s="87"/>
      <c r="G24" s="87"/>
      <c r="H24" s="87"/>
      <c r="I24" s="87"/>
      <c r="J24" s="87"/>
      <c r="K24" s="87"/>
      <c r="L24" s="87"/>
    </row>
    <row r="25" spans="1:12" ht="12.75">
      <c r="A25" s="225" t="s">
        <v>495</v>
      </c>
      <c r="B25" s="87"/>
      <c r="C25" s="87"/>
      <c r="D25" s="87"/>
      <c r="E25" s="87"/>
      <c r="F25" s="87"/>
      <c r="G25" s="87"/>
      <c r="H25" s="87"/>
      <c r="I25" s="87"/>
      <c r="J25" s="87"/>
      <c r="K25" s="87"/>
      <c r="L25" s="87"/>
    </row>
    <row r="26" spans="1:12" ht="12.75">
      <c r="A26" s="225" t="s">
        <v>496</v>
      </c>
      <c r="B26" s="87"/>
      <c r="C26" s="87"/>
      <c r="D26" s="87"/>
      <c r="E26" s="87"/>
      <c r="F26" s="87"/>
      <c r="G26" s="87"/>
      <c r="H26" s="87"/>
      <c r="I26" s="87"/>
      <c r="J26" s="87"/>
      <c r="K26" s="87"/>
      <c r="L26" s="87"/>
    </row>
    <row r="27" spans="1:12" ht="12.75">
      <c r="A27" s="225" t="s">
        <v>541</v>
      </c>
      <c r="B27" s="87"/>
      <c r="C27" s="87"/>
      <c r="D27" s="87"/>
      <c r="E27" s="87"/>
      <c r="F27" s="87"/>
      <c r="G27" s="87"/>
      <c r="H27" s="87"/>
      <c r="I27" s="87"/>
      <c r="J27" s="87"/>
      <c r="K27" s="87"/>
      <c r="L27" s="87"/>
    </row>
    <row r="28" spans="1:12" ht="12.75">
      <c r="A28" s="225" t="s">
        <v>542</v>
      </c>
      <c r="B28" s="87"/>
      <c r="C28" s="87"/>
      <c r="D28" s="87"/>
      <c r="E28" s="87"/>
      <c r="F28" s="87"/>
      <c r="G28" s="87"/>
      <c r="H28" s="87"/>
      <c r="I28" s="87"/>
      <c r="J28" s="87"/>
      <c r="K28" s="87"/>
      <c r="L28" s="87"/>
    </row>
    <row r="29" spans="1:12" ht="12.75">
      <c r="A29" s="225" t="s">
        <v>13</v>
      </c>
      <c r="B29" s="87"/>
      <c r="C29" s="87"/>
      <c r="D29" s="87"/>
      <c r="E29" s="87"/>
      <c r="F29" s="87"/>
      <c r="G29" s="87"/>
      <c r="H29" s="87"/>
      <c r="I29" s="87"/>
      <c r="J29" s="87"/>
      <c r="K29" s="87"/>
      <c r="L29" s="87"/>
    </row>
    <row r="30" spans="1:12" ht="12.75">
      <c r="A30" s="225"/>
      <c r="B30" s="87"/>
      <c r="C30" s="87"/>
      <c r="D30" s="87"/>
      <c r="E30" s="87"/>
      <c r="F30" s="87"/>
      <c r="G30" s="87"/>
      <c r="H30" s="87"/>
      <c r="I30" s="87"/>
      <c r="J30" s="87"/>
      <c r="K30" s="87"/>
      <c r="L30" s="87"/>
    </row>
    <row r="31" spans="1:12" ht="12.75">
      <c r="A31" s="225" t="s">
        <v>479</v>
      </c>
      <c r="B31" s="87"/>
      <c r="C31" s="87"/>
      <c r="D31" s="87"/>
      <c r="E31" s="87"/>
      <c r="F31" s="87"/>
      <c r="G31" s="87"/>
      <c r="H31" s="87"/>
      <c r="I31" s="87"/>
      <c r="J31" s="87"/>
      <c r="K31" s="87"/>
      <c r="L31" s="87"/>
    </row>
    <row r="32" spans="1:12" ht="12.75">
      <c r="A32" s="225" t="s">
        <v>469</v>
      </c>
      <c r="B32" s="87"/>
      <c r="C32" s="87"/>
      <c r="D32" s="87"/>
      <c r="E32" s="87"/>
      <c r="F32" s="87"/>
      <c r="G32" s="87"/>
      <c r="H32" s="87"/>
      <c r="I32" s="87"/>
      <c r="J32" s="87"/>
      <c r="K32" s="87"/>
      <c r="L32" s="87"/>
    </row>
    <row r="33" spans="1:12" ht="12.75">
      <c r="A33" s="225" t="s">
        <v>470</v>
      </c>
      <c r="B33" s="87"/>
      <c r="C33" s="87"/>
      <c r="D33" s="87"/>
      <c r="E33" s="87"/>
      <c r="F33" s="87"/>
      <c r="G33" s="87"/>
      <c r="H33" s="87"/>
      <c r="I33" s="87"/>
      <c r="J33" s="87"/>
      <c r="K33" s="87"/>
      <c r="L33" s="87"/>
    </row>
    <row r="34" spans="1:12" ht="12.75">
      <c r="A34" s="225" t="s">
        <v>480</v>
      </c>
      <c r="B34" s="87"/>
      <c r="C34" s="87"/>
      <c r="D34" s="87"/>
      <c r="E34" s="87"/>
      <c r="F34" s="87"/>
      <c r="G34" s="87"/>
      <c r="H34" s="87"/>
      <c r="I34" s="87"/>
      <c r="J34" s="87"/>
      <c r="K34" s="87"/>
      <c r="L34" s="87"/>
    </row>
    <row r="35" spans="1:12" ht="12.75">
      <c r="A35" s="225" t="s">
        <v>497</v>
      </c>
      <c r="B35" s="87"/>
      <c r="C35" s="87"/>
      <c r="D35" s="87"/>
      <c r="E35" s="87"/>
      <c r="F35" s="87"/>
      <c r="G35" s="87"/>
      <c r="H35" s="87"/>
      <c r="I35" s="87"/>
      <c r="J35" s="87"/>
      <c r="K35" s="87"/>
      <c r="L35" s="87"/>
    </row>
    <row r="36" spans="1:12" ht="12.75">
      <c r="A36" s="225" t="s">
        <v>485</v>
      </c>
      <c r="B36" s="87"/>
      <c r="C36" s="87"/>
      <c r="D36" s="87"/>
      <c r="E36" s="87"/>
      <c r="F36" s="87"/>
      <c r="G36" s="87"/>
      <c r="H36" s="87"/>
      <c r="I36" s="87"/>
      <c r="J36" s="87"/>
      <c r="K36" s="87"/>
      <c r="L36" s="87"/>
    </row>
    <row r="37" spans="1:12" ht="12.75">
      <c r="A37" s="225" t="s">
        <v>481</v>
      </c>
      <c r="B37" s="87"/>
      <c r="C37" s="87"/>
      <c r="D37" s="87"/>
      <c r="E37" s="87"/>
      <c r="F37" s="87"/>
      <c r="G37" s="87"/>
      <c r="H37" s="87"/>
      <c r="I37" s="87"/>
      <c r="J37" s="87"/>
      <c r="K37" s="87"/>
      <c r="L37" s="87"/>
    </row>
    <row r="38" spans="1:12" ht="12.75">
      <c r="A38" s="225"/>
      <c r="B38" s="87"/>
      <c r="C38" s="87"/>
      <c r="D38" s="87"/>
      <c r="E38" s="87"/>
      <c r="F38" s="87"/>
      <c r="G38" s="87"/>
      <c r="H38" s="87"/>
      <c r="I38" s="87"/>
      <c r="J38" s="87"/>
      <c r="K38" s="87"/>
      <c r="L38" s="87"/>
    </row>
    <row r="39" spans="1:12" ht="12.75">
      <c r="A39" s="225" t="s">
        <v>37</v>
      </c>
      <c r="B39" s="87"/>
      <c r="C39" s="87"/>
      <c r="D39" s="87"/>
      <c r="E39" s="87"/>
      <c r="F39" s="87"/>
      <c r="G39" s="87"/>
      <c r="H39" s="87"/>
      <c r="I39" s="87"/>
      <c r="J39" s="87"/>
      <c r="K39" s="87"/>
      <c r="L39" s="87"/>
    </row>
    <row r="40" spans="1:12" ht="12.75">
      <c r="A40" s="225" t="s">
        <v>498</v>
      </c>
      <c r="B40" s="87"/>
      <c r="C40" s="87"/>
      <c r="D40" s="87"/>
      <c r="E40" s="87"/>
      <c r="F40" s="87"/>
      <c r="G40" s="87"/>
      <c r="H40" s="87"/>
      <c r="I40" s="87"/>
      <c r="J40" s="87"/>
      <c r="K40" s="87"/>
      <c r="L40" s="87"/>
    </row>
    <row r="41" spans="1:12" ht="12.75">
      <c r="A41" s="225" t="s">
        <v>38</v>
      </c>
      <c r="B41" s="87"/>
      <c r="C41" s="87"/>
      <c r="D41" s="87"/>
      <c r="E41" s="87"/>
      <c r="F41" s="87"/>
      <c r="G41" s="87"/>
      <c r="H41" s="87"/>
      <c r="I41" s="87"/>
      <c r="J41" s="87"/>
      <c r="K41" s="87"/>
      <c r="L41" s="87"/>
    </row>
    <row r="42" spans="1:12" ht="12.75">
      <c r="A42" s="225" t="s">
        <v>39</v>
      </c>
      <c r="B42" s="87"/>
      <c r="C42" s="87"/>
      <c r="D42" s="87"/>
      <c r="E42" s="87"/>
      <c r="F42" s="87"/>
      <c r="G42" s="87"/>
      <c r="H42" s="87"/>
      <c r="I42" s="87"/>
      <c r="J42" s="87"/>
      <c r="K42" s="87"/>
      <c r="L42" s="87"/>
    </row>
    <row r="43" spans="1:12" ht="12.75">
      <c r="A43" s="225" t="s">
        <v>40</v>
      </c>
      <c r="B43" s="87"/>
      <c r="C43" s="87"/>
      <c r="D43" s="87"/>
      <c r="E43" s="87"/>
      <c r="F43" s="87"/>
      <c r="G43" s="87"/>
      <c r="H43" s="87"/>
      <c r="I43" s="87"/>
      <c r="J43" s="87"/>
      <c r="K43" s="87"/>
      <c r="L43" s="87"/>
    </row>
    <row r="44" spans="1:12" ht="12.75">
      <c r="A44" s="225" t="s">
        <v>41</v>
      </c>
      <c r="B44" s="87"/>
      <c r="C44" s="87"/>
      <c r="D44" s="87"/>
      <c r="E44" s="87"/>
      <c r="F44" s="87"/>
      <c r="G44" s="87"/>
      <c r="H44" s="87"/>
      <c r="I44" s="87"/>
      <c r="J44" s="87"/>
      <c r="K44" s="87"/>
      <c r="L44" s="87"/>
    </row>
    <row r="45" spans="1:12" ht="12.75">
      <c r="A45" s="225"/>
      <c r="B45" s="87"/>
      <c r="C45" s="87"/>
      <c r="D45" s="87"/>
      <c r="E45" s="87"/>
      <c r="F45" s="87"/>
      <c r="G45" s="87"/>
      <c r="H45" s="87"/>
      <c r="I45" s="87"/>
      <c r="J45" s="87"/>
      <c r="K45" s="87"/>
      <c r="L45" s="87"/>
    </row>
    <row r="46" spans="1:12" ht="12.75">
      <c r="A46" s="225" t="s">
        <v>473</v>
      </c>
      <c r="B46" s="87"/>
      <c r="C46" s="87"/>
      <c r="D46" s="87"/>
      <c r="E46" s="87"/>
      <c r="F46" s="87"/>
      <c r="G46" s="87"/>
      <c r="H46" s="87"/>
      <c r="I46" s="87"/>
      <c r="J46" s="87"/>
      <c r="K46" s="87"/>
      <c r="L46" s="87"/>
    </row>
    <row r="47" spans="1:12" ht="12.75">
      <c r="A47" s="225" t="s">
        <v>471</v>
      </c>
      <c r="B47" s="87"/>
      <c r="C47" s="87"/>
      <c r="D47" s="87"/>
      <c r="E47" s="87"/>
      <c r="F47" s="87"/>
      <c r="G47" s="87"/>
      <c r="H47" s="87"/>
      <c r="I47" s="87"/>
      <c r="J47" s="87"/>
      <c r="K47" s="87"/>
      <c r="L47" s="87"/>
    </row>
    <row r="48" spans="1:12" ht="12.75">
      <c r="A48" s="225" t="s">
        <v>472</v>
      </c>
      <c r="B48" s="87"/>
      <c r="C48" s="87"/>
      <c r="D48" s="87"/>
      <c r="E48" s="87"/>
      <c r="F48" s="87"/>
      <c r="G48" s="87"/>
      <c r="H48" s="87"/>
      <c r="I48" s="87"/>
      <c r="J48" s="87"/>
      <c r="K48" s="87"/>
      <c r="L48" s="87"/>
    </row>
    <row r="49" spans="1:12" ht="14.25">
      <c r="A49" s="225"/>
      <c r="B49" s="230" t="s">
        <v>269</v>
      </c>
      <c r="C49" s="87"/>
      <c r="D49" s="87"/>
      <c r="E49" s="87"/>
      <c r="F49" s="87"/>
      <c r="G49" s="87"/>
      <c r="H49" s="87"/>
      <c r="I49" s="87"/>
      <c r="J49" s="87"/>
      <c r="K49" s="87"/>
      <c r="L49" s="87"/>
    </row>
    <row r="50" spans="1:12" ht="14.25">
      <c r="A50" s="225" t="s">
        <v>42</v>
      </c>
      <c r="B50" s="230"/>
      <c r="C50" s="87"/>
      <c r="D50" s="87"/>
      <c r="E50" s="87"/>
      <c r="F50" s="87"/>
      <c r="G50" s="87"/>
      <c r="H50" s="87"/>
      <c r="I50" s="87"/>
      <c r="J50" s="87"/>
      <c r="K50" s="87"/>
      <c r="L50" s="87"/>
    </row>
    <row r="51" spans="1:12" ht="14.25">
      <c r="A51" s="225"/>
      <c r="B51" s="230"/>
      <c r="C51" s="87"/>
      <c r="D51" s="87"/>
      <c r="E51" s="87"/>
      <c r="F51" s="87"/>
      <c r="G51" s="87"/>
      <c r="H51" s="87"/>
      <c r="I51" s="87"/>
      <c r="J51" s="87"/>
      <c r="K51" s="87"/>
      <c r="L51" s="87"/>
    </row>
    <row r="52" spans="1:12" ht="12.75">
      <c r="A52" s="225" t="s">
        <v>324</v>
      </c>
      <c r="B52" s="87"/>
      <c r="C52" s="87"/>
      <c r="D52" s="87"/>
      <c r="E52" s="87"/>
      <c r="F52" s="87"/>
      <c r="G52" s="87"/>
      <c r="H52" s="87"/>
      <c r="I52" s="87"/>
      <c r="J52" s="87"/>
      <c r="K52" s="87"/>
      <c r="L52" s="87"/>
    </row>
    <row r="53" spans="1:12" ht="12.75">
      <c r="A53" s="225"/>
      <c r="B53" s="87"/>
      <c r="C53" s="87"/>
      <c r="D53" s="87"/>
      <c r="E53" s="87"/>
      <c r="F53" s="87"/>
      <c r="G53" s="87"/>
      <c r="H53" s="87"/>
      <c r="I53" s="87"/>
      <c r="J53" s="87"/>
      <c r="K53" s="87"/>
      <c r="L53" s="87"/>
    </row>
    <row r="54" spans="1:12" ht="12.75">
      <c r="A54" s="225" t="s">
        <v>325</v>
      </c>
      <c r="B54" s="87"/>
      <c r="C54" s="87"/>
      <c r="D54" s="87"/>
      <c r="E54" s="87"/>
      <c r="F54" s="87"/>
      <c r="G54" s="87"/>
      <c r="H54" s="87"/>
      <c r="I54" s="87"/>
      <c r="J54" s="87"/>
      <c r="K54" s="87"/>
      <c r="L54" s="87"/>
    </row>
    <row r="55" spans="1:12" ht="12.75">
      <c r="A55" s="225" t="s">
        <v>299</v>
      </c>
      <c r="B55" s="87"/>
      <c r="C55" s="87"/>
      <c r="D55" s="87"/>
      <c r="E55" s="87"/>
      <c r="F55" s="87"/>
      <c r="G55" s="87"/>
      <c r="H55" s="87"/>
      <c r="I55" s="87"/>
      <c r="J55" s="87"/>
      <c r="K55" s="87"/>
      <c r="L55" s="87"/>
    </row>
    <row r="56" spans="1:12" ht="12.75">
      <c r="A56" s="225"/>
      <c r="B56" s="87"/>
      <c r="C56" s="87"/>
      <c r="D56" s="87"/>
      <c r="E56" s="87"/>
      <c r="F56" s="87"/>
      <c r="G56" s="87"/>
      <c r="H56" s="87"/>
      <c r="I56" s="87"/>
      <c r="J56" s="87"/>
      <c r="K56" s="87"/>
      <c r="L56" s="87"/>
    </row>
    <row r="57" spans="1:12" ht="12.75">
      <c r="A57" s="225" t="s">
        <v>578</v>
      </c>
      <c r="B57" s="87"/>
      <c r="C57" s="87"/>
      <c r="D57" s="87"/>
      <c r="E57" s="87"/>
      <c r="F57" s="87"/>
      <c r="G57" s="87"/>
      <c r="H57" s="87"/>
      <c r="I57" s="87"/>
      <c r="J57" s="87"/>
      <c r="K57" s="87"/>
      <c r="L57" s="87"/>
    </row>
    <row r="58" spans="1:12" ht="12.75">
      <c r="A58" s="225" t="s">
        <v>579</v>
      </c>
      <c r="B58" s="87"/>
      <c r="C58" s="87"/>
      <c r="D58" s="87"/>
      <c r="E58" s="87"/>
      <c r="F58" s="87"/>
      <c r="G58" s="87"/>
      <c r="H58" s="87"/>
      <c r="I58" s="87"/>
      <c r="J58" s="87"/>
      <c r="K58" s="87"/>
      <c r="L58" s="87"/>
    </row>
    <row r="59" spans="1:12" ht="12.75">
      <c r="A59" s="225" t="s">
        <v>499</v>
      </c>
      <c r="B59" s="87"/>
      <c r="C59" s="87"/>
      <c r="D59" s="87"/>
      <c r="E59" s="87"/>
      <c r="F59" s="87"/>
      <c r="G59" s="87"/>
      <c r="H59" s="87"/>
      <c r="I59" s="87"/>
      <c r="J59" s="87"/>
      <c r="K59" s="87"/>
      <c r="L59" s="87"/>
    </row>
    <row r="60" spans="1:12" ht="12.75">
      <c r="A60" s="225" t="s">
        <v>544</v>
      </c>
      <c r="B60" s="87"/>
      <c r="C60" s="87"/>
      <c r="D60" s="87"/>
      <c r="E60" s="87"/>
      <c r="F60" s="87"/>
      <c r="G60" s="87"/>
      <c r="H60" s="87"/>
      <c r="I60" s="87"/>
      <c r="J60" s="87"/>
      <c r="K60" s="87"/>
      <c r="L60" s="87"/>
    </row>
    <row r="61" spans="1:12" ht="12.75">
      <c r="A61" s="225" t="s">
        <v>14</v>
      </c>
      <c r="B61" s="87"/>
      <c r="C61" s="87"/>
      <c r="D61" s="87"/>
      <c r="E61" s="87"/>
      <c r="F61" s="87"/>
      <c r="G61" s="87"/>
      <c r="H61" s="87"/>
      <c r="I61" s="87"/>
      <c r="J61" s="87"/>
      <c r="K61" s="87"/>
      <c r="L61" s="87"/>
    </row>
    <row r="62" spans="1:12" ht="12.75">
      <c r="A62" s="225" t="s">
        <v>484</v>
      </c>
      <c r="B62" s="87"/>
      <c r="C62" s="87"/>
      <c r="D62" s="87"/>
      <c r="E62" s="87"/>
      <c r="F62" s="87"/>
      <c r="G62" s="87"/>
      <c r="H62" s="87"/>
      <c r="I62" s="87"/>
      <c r="J62" s="87"/>
      <c r="K62" s="87"/>
      <c r="L62" s="87"/>
    </row>
    <row r="63" spans="1:12" ht="12.75">
      <c r="A63" s="225" t="s">
        <v>36</v>
      </c>
      <c r="B63" s="87"/>
      <c r="C63" s="87"/>
      <c r="D63" s="87"/>
      <c r="E63" s="87"/>
      <c r="F63" s="87"/>
      <c r="G63" s="87"/>
      <c r="H63" s="87"/>
      <c r="I63" s="87"/>
      <c r="J63" s="87"/>
      <c r="K63" s="87"/>
      <c r="L63" s="87"/>
    </row>
    <row r="64" spans="1:12" ht="12.75">
      <c r="A64" s="225" t="s">
        <v>500</v>
      </c>
      <c r="B64" s="87"/>
      <c r="C64" s="87"/>
      <c r="D64" s="87"/>
      <c r="E64" s="87"/>
      <c r="F64" s="87"/>
      <c r="G64" s="87"/>
      <c r="H64" s="87"/>
      <c r="I64" s="87"/>
      <c r="J64" s="87"/>
      <c r="K64" s="87"/>
      <c r="L64" s="87"/>
    </row>
    <row r="65" spans="1:12" ht="12.75">
      <c r="A65" s="225"/>
      <c r="B65" s="87"/>
      <c r="C65" s="87"/>
      <c r="D65" s="87"/>
      <c r="E65" s="87"/>
      <c r="F65" s="87"/>
      <c r="G65" s="87"/>
      <c r="H65" s="87"/>
      <c r="I65" s="87"/>
      <c r="J65" s="87"/>
      <c r="K65" s="87"/>
      <c r="L65" s="87"/>
    </row>
    <row r="66" spans="1:12" ht="12.75">
      <c r="A66" s="225" t="s">
        <v>580</v>
      </c>
      <c r="B66" s="87"/>
      <c r="C66" s="87"/>
      <c r="D66" s="87"/>
      <c r="E66" s="87"/>
      <c r="F66" s="87"/>
      <c r="G66" s="87"/>
      <c r="H66" s="87"/>
      <c r="I66" s="87"/>
      <c r="J66" s="87"/>
      <c r="K66" s="87"/>
      <c r="L66" s="87"/>
    </row>
    <row r="67" spans="1:12" ht="12.75">
      <c r="A67" s="225" t="s">
        <v>581</v>
      </c>
      <c r="B67" s="87"/>
      <c r="C67" s="87"/>
      <c r="D67" s="87"/>
      <c r="E67" s="87"/>
      <c r="F67" s="87"/>
      <c r="G67" s="87"/>
      <c r="H67" s="87"/>
      <c r="I67" s="87"/>
      <c r="J67" s="87"/>
      <c r="K67" s="87"/>
      <c r="L67" s="87"/>
    </row>
    <row r="68" spans="1:12" ht="12.75">
      <c r="A68" s="225" t="s">
        <v>582</v>
      </c>
      <c r="B68" s="87"/>
      <c r="C68" s="87"/>
      <c r="D68" s="87"/>
      <c r="E68" s="87"/>
      <c r="F68" s="87"/>
      <c r="G68" s="87"/>
      <c r="H68" s="87"/>
      <c r="I68" s="87"/>
      <c r="J68" s="87"/>
      <c r="K68" s="87"/>
      <c r="L68" s="87"/>
    </row>
    <row r="69" spans="1:12" ht="12.75">
      <c r="A69" s="225" t="s">
        <v>583</v>
      </c>
      <c r="B69" s="87"/>
      <c r="C69" s="87"/>
      <c r="D69" s="87"/>
      <c r="E69" s="87"/>
      <c r="F69" s="87"/>
      <c r="G69" s="87"/>
      <c r="H69" s="87"/>
      <c r="I69" s="87"/>
      <c r="J69" s="87"/>
      <c r="K69" s="87"/>
      <c r="L69" s="87"/>
    </row>
    <row r="70" spans="1:12" ht="12.75">
      <c r="A70" s="225" t="s">
        <v>584</v>
      </c>
      <c r="B70" s="87"/>
      <c r="C70" s="87"/>
      <c r="D70" s="87"/>
      <c r="E70" s="87"/>
      <c r="F70" s="87"/>
      <c r="G70" s="87"/>
      <c r="H70" s="87"/>
      <c r="I70" s="87"/>
      <c r="J70" s="87"/>
      <c r="K70" s="87"/>
      <c r="L70" s="87"/>
    </row>
    <row r="71" spans="1:12" ht="12.75">
      <c r="A71" s="225" t="s">
        <v>585</v>
      </c>
      <c r="B71" s="87"/>
      <c r="C71" s="87"/>
      <c r="D71" s="87"/>
      <c r="E71" s="87"/>
      <c r="F71" s="87"/>
      <c r="G71" s="87"/>
      <c r="H71" s="87"/>
      <c r="I71" s="87"/>
      <c r="J71" s="87"/>
      <c r="K71" s="87"/>
      <c r="L71" s="87"/>
    </row>
    <row r="72" spans="1:12" ht="12.75">
      <c r="A72" s="225" t="s">
        <v>0</v>
      </c>
      <c r="B72" s="87"/>
      <c r="C72" s="87"/>
      <c r="D72" s="87"/>
      <c r="E72" s="87"/>
      <c r="F72" s="87"/>
      <c r="G72" s="87"/>
      <c r="H72" s="87"/>
      <c r="I72" s="87"/>
      <c r="J72" s="87"/>
      <c r="K72" s="87"/>
      <c r="L72" s="87"/>
    </row>
    <row r="73" spans="1:12" ht="12.75">
      <c r="A73" s="225" t="s">
        <v>1</v>
      </c>
      <c r="B73" s="87"/>
      <c r="C73" s="87"/>
      <c r="D73" s="87"/>
      <c r="E73" s="87"/>
      <c r="F73" s="87"/>
      <c r="G73" s="87"/>
      <c r="H73" s="87"/>
      <c r="I73" s="87"/>
      <c r="J73" s="87"/>
      <c r="K73" s="87"/>
      <c r="L73" s="87"/>
    </row>
    <row r="74" spans="1:12" ht="12.75">
      <c r="A74" s="225" t="s">
        <v>2</v>
      </c>
      <c r="B74" s="87"/>
      <c r="C74" s="87"/>
      <c r="D74" s="87"/>
      <c r="E74" s="87"/>
      <c r="F74" s="87"/>
      <c r="G74" s="87"/>
      <c r="H74" s="87"/>
      <c r="I74" s="87"/>
      <c r="J74" s="87"/>
      <c r="K74" s="87"/>
      <c r="L74" s="87"/>
    </row>
    <row r="75" spans="1:12" ht="12.75">
      <c r="A75" s="225" t="s">
        <v>3</v>
      </c>
      <c r="B75" s="87"/>
      <c r="C75" s="87"/>
      <c r="D75" s="87"/>
      <c r="E75" s="87"/>
      <c r="F75" s="87"/>
      <c r="G75" s="87"/>
      <c r="H75" s="87"/>
      <c r="I75" s="87"/>
      <c r="J75" s="87"/>
      <c r="K75" s="87"/>
      <c r="L75" s="87"/>
    </row>
    <row r="76" spans="1:12" ht="12.75">
      <c r="A76" s="225"/>
      <c r="B76" s="87"/>
      <c r="C76" s="87"/>
      <c r="D76" s="87"/>
      <c r="E76" s="87"/>
      <c r="F76" s="87"/>
      <c r="G76" s="87"/>
      <c r="H76" s="87"/>
      <c r="I76" s="87"/>
      <c r="J76" s="87"/>
      <c r="K76" s="87"/>
      <c r="L76" s="87"/>
    </row>
    <row r="77" spans="1:12" ht="12.75">
      <c r="A77" s="225" t="s">
        <v>323</v>
      </c>
      <c r="B77" s="87"/>
      <c r="C77" s="87"/>
      <c r="D77" s="87"/>
      <c r="E77" s="87"/>
      <c r="F77" s="87"/>
      <c r="G77" s="87"/>
      <c r="H77" s="87"/>
      <c r="I77" s="87"/>
      <c r="J77" s="87"/>
      <c r="K77" s="87"/>
      <c r="L77" s="87"/>
    </row>
    <row r="78" spans="1:12" ht="12.75">
      <c r="A78" s="225" t="s">
        <v>332</v>
      </c>
      <c r="B78" s="87"/>
      <c r="C78" s="87"/>
      <c r="D78" s="87"/>
      <c r="E78" s="87"/>
      <c r="F78" s="87"/>
      <c r="G78" s="87"/>
      <c r="H78" s="87"/>
      <c r="I78" s="87"/>
      <c r="J78" s="87"/>
      <c r="K78" s="87"/>
      <c r="L78" s="87"/>
    </row>
    <row r="79" spans="1:12" ht="12.75">
      <c r="A79" s="225" t="s">
        <v>335</v>
      </c>
      <c r="B79" s="87"/>
      <c r="C79" s="87"/>
      <c r="D79" s="87"/>
      <c r="E79" s="87"/>
      <c r="F79" s="87"/>
      <c r="G79" s="87"/>
      <c r="H79" s="87"/>
      <c r="I79" s="87"/>
      <c r="J79" s="87"/>
      <c r="K79" s="87"/>
      <c r="L79" s="87"/>
    </row>
    <row r="80" spans="1:12" ht="12.75">
      <c r="A80" s="225" t="s">
        <v>336</v>
      </c>
      <c r="B80" s="87"/>
      <c r="C80" s="87"/>
      <c r="D80" s="87"/>
      <c r="E80" s="87"/>
      <c r="F80" s="87"/>
      <c r="G80" s="87"/>
      <c r="H80" s="87"/>
      <c r="I80" s="87"/>
      <c r="J80" s="87"/>
      <c r="K80" s="87"/>
      <c r="L80" s="87"/>
    </row>
    <row r="81" spans="1:12" ht="12.75">
      <c r="A81" s="225"/>
      <c r="B81" s="87"/>
      <c r="C81" s="87"/>
      <c r="D81" s="87"/>
      <c r="E81" s="87"/>
      <c r="F81" s="87"/>
      <c r="G81" s="87"/>
      <c r="H81" s="87"/>
      <c r="I81" s="87"/>
      <c r="J81" s="87"/>
      <c r="K81" s="87"/>
      <c r="L81" s="87"/>
    </row>
    <row r="82" spans="1:12" ht="12.75">
      <c r="A82" s="225" t="s">
        <v>486</v>
      </c>
      <c r="B82" s="87"/>
      <c r="C82" s="87"/>
      <c r="D82" s="87"/>
      <c r="E82" s="87"/>
      <c r="F82" s="87"/>
      <c r="G82" s="87"/>
      <c r="H82" s="87"/>
      <c r="I82" s="87"/>
      <c r="J82" s="87"/>
      <c r="K82" s="87"/>
      <c r="L82" s="87"/>
    </row>
    <row r="83" spans="1:12" ht="12.75">
      <c r="A83" s="225" t="s">
        <v>487</v>
      </c>
      <c r="B83" s="87"/>
      <c r="C83" s="87"/>
      <c r="D83" s="87"/>
      <c r="E83" s="87"/>
      <c r="F83" s="87"/>
      <c r="G83" s="87"/>
      <c r="H83" s="87"/>
      <c r="I83" s="87"/>
      <c r="J83" s="87"/>
      <c r="K83" s="87"/>
      <c r="L83" s="87"/>
    </row>
    <row r="84" spans="1:12" ht="12.75">
      <c r="A84" s="225" t="s">
        <v>488</v>
      </c>
      <c r="B84" s="87"/>
      <c r="C84" s="87"/>
      <c r="D84" s="87"/>
      <c r="E84" s="87"/>
      <c r="F84" s="87"/>
      <c r="G84" s="87"/>
      <c r="H84" s="87"/>
      <c r="I84" s="87"/>
      <c r="J84" s="87"/>
      <c r="K84" s="87"/>
      <c r="L84" s="87"/>
    </row>
    <row r="85" spans="1:12" ht="12.75">
      <c r="A85" s="225" t="s">
        <v>489</v>
      </c>
      <c r="B85" s="87"/>
      <c r="C85" s="87"/>
      <c r="D85" s="87"/>
      <c r="E85" s="87"/>
      <c r="F85" s="87"/>
      <c r="G85" s="87"/>
      <c r="H85" s="87"/>
      <c r="I85" s="87"/>
      <c r="J85" s="87"/>
      <c r="K85" s="87"/>
      <c r="L85" s="87"/>
    </row>
    <row r="86" spans="1:12" ht="12.75">
      <c r="A86" s="225" t="s">
        <v>490</v>
      </c>
      <c r="B86" s="87"/>
      <c r="C86" s="87"/>
      <c r="D86" s="87"/>
      <c r="E86" s="87"/>
      <c r="F86" s="87"/>
      <c r="G86" s="87"/>
      <c r="H86" s="87"/>
      <c r="I86" s="87"/>
      <c r="J86" s="87"/>
      <c r="K86" s="87"/>
      <c r="L86" s="87"/>
    </row>
    <row r="87" spans="1:12" ht="12.75">
      <c r="A87" s="225"/>
      <c r="B87" s="87"/>
      <c r="C87" s="87"/>
      <c r="D87" s="87"/>
      <c r="E87" s="87"/>
      <c r="F87" s="87"/>
      <c r="G87" s="87"/>
      <c r="H87" s="87"/>
      <c r="I87" s="87"/>
      <c r="J87" s="87"/>
      <c r="K87" s="87"/>
      <c r="L87" s="87"/>
    </row>
    <row r="88" spans="1:12" ht="12.75">
      <c r="A88" s="225" t="s">
        <v>501</v>
      </c>
      <c r="B88" s="87"/>
      <c r="C88" s="87"/>
      <c r="D88" s="87"/>
      <c r="E88" s="87"/>
      <c r="F88" s="87"/>
      <c r="G88" s="87"/>
      <c r="H88" s="87"/>
      <c r="I88" s="87"/>
      <c r="J88" s="87"/>
      <c r="K88" s="87"/>
      <c r="L88" s="87"/>
    </row>
    <row r="89" spans="1:12" ht="12.75">
      <c r="A89" s="225" t="s">
        <v>15</v>
      </c>
      <c r="B89" s="87"/>
      <c r="C89" s="87"/>
      <c r="D89" s="87"/>
      <c r="E89" s="87"/>
      <c r="F89" s="87"/>
      <c r="G89" s="87"/>
      <c r="H89" s="87"/>
      <c r="I89" s="87"/>
      <c r="J89" s="87"/>
      <c r="K89" s="87"/>
      <c r="L89" s="87"/>
    </row>
    <row r="90" spans="1:12" ht="12.75">
      <c r="A90" s="225"/>
      <c r="B90" s="87"/>
      <c r="C90" s="87"/>
      <c r="D90" s="87"/>
      <c r="E90" s="87"/>
      <c r="F90" s="87"/>
      <c r="G90" s="87"/>
      <c r="H90" s="87"/>
      <c r="I90" s="87"/>
      <c r="J90" s="87"/>
      <c r="K90" s="87"/>
      <c r="L90" s="87"/>
    </row>
    <row r="91" spans="1:12" ht="12.75">
      <c r="A91" s="225" t="s">
        <v>4</v>
      </c>
      <c r="B91" s="87"/>
      <c r="C91" s="87"/>
      <c r="D91" s="87"/>
      <c r="E91" s="87"/>
      <c r="F91" s="87"/>
      <c r="G91" s="87"/>
      <c r="H91" s="87"/>
      <c r="I91" s="87"/>
      <c r="J91" s="87"/>
      <c r="K91" s="87"/>
      <c r="L91" s="87"/>
    </row>
    <row r="92" spans="1:12" ht="12.75">
      <c r="A92" s="225" t="s">
        <v>5</v>
      </c>
      <c r="B92" s="87"/>
      <c r="C92" s="87"/>
      <c r="D92" s="87"/>
      <c r="E92" s="87"/>
      <c r="F92" s="87"/>
      <c r="G92" s="87"/>
      <c r="H92" s="87"/>
      <c r="I92" s="87"/>
      <c r="J92" s="87"/>
      <c r="K92" s="87"/>
      <c r="L92" s="87"/>
    </row>
    <row r="93" spans="1:12" ht="12.75">
      <c r="A93" s="225" t="s">
        <v>6</v>
      </c>
      <c r="B93" s="87"/>
      <c r="C93" s="87"/>
      <c r="D93" s="87"/>
      <c r="E93" s="87"/>
      <c r="F93" s="87"/>
      <c r="G93" s="87"/>
      <c r="H93" s="87"/>
      <c r="I93" s="87"/>
      <c r="J93" s="87"/>
      <c r="K93" s="87"/>
      <c r="L93" s="87"/>
    </row>
    <row r="94" spans="1:12" ht="12.75">
      <c r="A94" s="225"/>
      <c r="B94" s="87"/>
      <c r="C94" s="87"/>
      <c r="D94" s="87"/>
      <c r="E94" s="87"/>
      <c r="F94" s="87"/>
      <c r="G94" s="87"/>
      <c r="H94" s="87"/>
      <c r="I94" s="87"/>
      <c r="J94" s="87"/>
      <c r="K94" s="87"/>
      <c r="L94" s="87"/>
    </row>
    <row r="95" spans="1:12" ht="12.75">
      <c r="A95" s="225" t="s">
        <v>7</v>
      </c>
      <c r="B95" s="432"/>
      <c r="C95" s="432"/>
      <c r="D95" s="432"/>
      <c r="E95" s="87"/>
      <c r="F95" s="87"/>
      <c r="G95" s="87"/>
      <c r="H95" s="87"/>
      <c r="I95" s="87"/>
      <c r="J95" s="87"/>
      <c r="K95" s="87"/>
      <c r="L95" s="87"/>
    </row>
    <row r="96" spans="1:12" ht="12.75">
      <c r="A96" s="225" t="s">
        <v>8</v>
      </c>
      <c r="B96" s="432"/>
      <c r="C96" s="432"/>
      <c r="D96" s="432"/>
      <c r="E96" s="87"/>
      <c r="F96" s="87"/>
      <c r="G96" s="87"/>
      <c r="H96" s="87"/>
      <c r="I96" s="87"/>
      <c r="J96" s="87"/>
      <c r="K96" s="87"/>
      <c r="L96" s="87"/>
    </row>
    <row r="97" spans="1:12" ht="12.75">
      <c r="A97" s="225" t="s">
        <v>9</v>
      </c>
      <c r="B97" s="432"/>
      <c r="C97" s="432"/>
      <c r="D97" s="432"/>
      <c r="E97" s="87"/>
      <c r="F97" s="87"/>
      <c r="G97" s="87"/>
      <c r="H97" s="87"/>
      <c r="I97" s="87"/>
      <c r="J97" s="87"/>
      <c r="K97" s="87"/>
      <c r="L97" s="87"/>
    </row>
    <row r="98" spans="1:12" ht="12.75">
      <c r="A98" s="225"/>
      <c r="B98" s="87"/>
      <c r="C98" s="87"/>
      <c r="D98" s="87"/>
      <c r="E98" s="87"/>
      <c r="F98" s="87"/>
      <c r="G98" s="87"/>
      <c r="H98" s="87"/>
      <c r="I98" s="87"/>
      <c r="J98" s="87"/>
      <c r="K98" s="87"/>
      <c r="L98" s="87"/>
    </row>
    <row r="99" spans="1:12" ht="12.75">
      <c r="A99" s="225"/>
      <c r="B99" s="87"/>
      <c r="C99" s="87"/>
      <c r="D99" s="87"/>
      <c r="E99" s="87"/>
      <c r="F99" s="87"/>
      <c r="G99" s="87"/>
      <c r="H99" s="87"/>
      <c r="I99" s="87"/>
      <c r="J99" s="87"/>
      <c r="K99" s="87"/>
      <c r="L99" s="87"/>
    </row>
    <row r="100" spans="1:12" ht="12.75">
      <c r="A100" s="87"/>
      <c r="B100" s="87"/>
      <c r="C100" s="87"/>
      <c r="D100" s="87"/>
      <c r="E100" s="87"/>
      <c r="F100" s="87"/>
      <c r="G100" s="87"/>
      <c r="H100" s="87"/>
      <c r="I100" s="87"/>
      <c r="J100" s="87"/>
      <c r="K100" s="87"/>
      <c r="L100" s="87"/>
    </row>
    <row r="101" spans="1:12" ht="15.75">
      <c r="A101" s="235" t="s">
        <v>270</v>
      </c>
      <c r="B101" s="87"/>
      <c r="C101" s="87"/>
      <c r="D101" s="87"/>
      <c r="E101" s="87"/>
      <c r="F101" s="87"/>
      <c r="G101" s="87"/>
      <c r="H101" s="87"/>
      <c r="I101" s="87"/>
      <c r="J101" s="87"/>
      <c r="K101" s="87"/>
      <c r="L101" s="87"/>
    </row>
    <row r="102" spans="1:12" ht="15.75">
      <c r="A102" s="235"/>
      <c r="B102" s="87"/>
      <c r="C102" s="87"/>
      <c r="D102" s="87"/>
      <c r="E102" s="87"/>
      <c r="F102" s="87"/>
      <c r="G102" s="87"/>
      <c r="H102" s="87"/>
      <c r="I102" s="87"/>
      <c r="J102" s="87"/>
      <c r="K102" s="87"/>
      <c r="L102" s="87"/>
    </row>
    <row r="103" spans="1:12" ht="12.75">
      <c r="A103" s="225" t="s">
        <v>275</v>
      </c>
      <c r="B103" s="87"/>
      <c r="C103" s="87"/>
      <c r="D103" s="87"/>
      <c r="E103" s="87"/>
      <c r="F103" s="87"/>
      <c r="G103" s="87"/>
      <c r="H103" s="87"/>
      <c r="I103" s="87"/>
      <c r="J103" s="87"/>
      <c r="K103" s="87"/>
      <c r="L103" s="87"/>
    </row>
    <row r="104" spans="1:12" ht="12.75">
      <c r="A104" s="225" t="s">
        <v>326</v>
      </c>
      <c r="B104" s="87"/>
      <c r="C104" s="87"/>
      <c r="D104" s="87"/>
      <c r="E104" s="87"/>
      <c r="F104" s="87"/>
      <c r="G104" s="87"/>
      <c r="H104" s="87"/>
      <c r="I104" s="87"/>
      <c r="J104" s="87"/>
      <c r="K104" s="87"/>
      <c r="L104" s="87"/>
    </row>
    <row r="105" spans="1:12" ht="12.75">
      <c r="A105" s="225" t="s">
        <v>327</v>
      </c>
      <c r="B105" s="87"/>
      <c r="C105" s="87"/>
      <c r="D105" s="87"/>
      <c r="E105" s="87"/>
      <c r="F105" s="87"/>
      <c r="G105" s="87"/>
      <c r="H105" s="87"/>
      <c r="I105" s="87"/>
      <c r="J105" s="87"/>
      <c r="K105" s="87"/>
      <c r="L105" s="87"/>
    </row>
    <row r="106" spans="1:12" ht="12.75">
      <c r="A106" s="225"/>
      <c r="B106" s="87"/>
      <c r="C106" s="87"/>
      <c r="D106" s="87"/>
      <c r="E106" s="87"/>
      <c r="F106" s="87"/>
      <c r="G106" s="87"/>
      <c r="H106" s="87"/>
      <c r="I106" s="87"/>
      <c r="J106" s="87"/>
      <c r="K106" s="87"/>
      <c r="L106" s="87"/>
    </row>
    <row r="107" spans="1:12" ht="12.75">
      <c r="A107" s="225" t="s">
        <v>300</v>
      </c>
      <c r="B107" s="87"/>
      <c r="C107" s="87"/>
      <c r="D107" s="87"/>
      <c r="E107" s="87"/>
      <c r="F107" s="87"/>
      <c r="G107" s="87"/>
      <c r="H107" s="87"/>
      <c r="I107" s="87"/>
      <c r="J107" s="87"/>
      <c r="K107" s="87"/>
      <c r="L107" s="87"/>
    </row>
    <row r="108" spans="1:12" ht="12.75">
      <c r="A108" s="225" t="s">
        <v>301</v>
      </c>
      <c r="B108" s="87"/>
      <c r="C108" s="87"/>
      <c r="D108" s="87"/>
      <c r="E108" s="87"/>
      <c r="F108" s="87"/>
      <c r="G108" s="87"/>
      <c r="H108" s="87"/>
      <c r="I108" s="87"/>
      <c r="J108" s="87"/>
      <c r="K108" s="87"/>
      <c r="L108" s="87"/>
    </row>
    <row r="109" spans="2:12" ht="12.75">
      <c r="B109" s="87"/>
      <c r="C109" s="87"/>
      <c r="D109" s="87"/>
      <c r="E109" s="87"/>
      <c r="F109" s="87"/>
      <c r="G109" s="87"/>
      <c r="H109" s="87"/>
      <c r="I109" s="87"/>
      <c r="J109" s="87"/>
      <c r="K109" s="87"/>
      <c r="L109" s="87"/>
    </row>
    <row r="110" spans="1:12" ht="12.75">
      <c r="A110" s="226" t="s">
        <v>276</v>
      </c>
      <c r="B110" s="236" t="s">
        <v>211</v>
      </c>
      <c r="C110" s="87"/>
      <c r="D110" s="87"/>
      <c r="E110" s="87"/>
      <c r="F110" s="87"/>
      <c r="G110" s="87"/>
      <c r="H110" s="87"/>
      <c r="I110" s="87"/>
      <c r="J110" s="87"/>
      <c r="K110" s="87"/>
      <c r="L110" s="87"/>
    </row>
    <row r="111" spans="1:12" ht="12.75">
      <c r="A111" s="92">
        <v>0</v>
      </c>
      <c r="B111" s="225" t="s">
        <v>277</v>
      </c>
      <c r="C111" s="87"/>
      <c r="D111" s="87"/>
      <c r="E111" s="87"/>
      <c r="F111" s="87"/>
      <c r="G111" s="87"/>
      <c r="H111" s="87"/>
      <c r="I111" s="87"/>
      <c r="J111" s="87"/>
      <c r="K111" s="87"/>
      <c r="L111" s="87"/>
    </row>
    <row r="112" spans="1:12" ht="12.75">
      <c r="A112" s="92">
        <v>1</v>
      </c>
      <c r="B112" s="225" t="s">
        <v>278</v>
      </c>
      <c r="C112" s="87"/>
      <c r="D112" s="87"/>
      <c r="E112" s="87"/>
      <c r="F112" s="87"/>
      <c r="G112" s="87"/>
      <c r="H112" s="87"/>
      <c r="I112" s="87"/>
      <c r="J112" s="87"/>
      <c r="K112" s="87"/>
      <c r="L112" s="87"/>
    </row>
    <row r="113" spans="1:12" ht="12.75">
      <c r="A113" s="92">
        <v>1.5</v>
      </c>
      <c r="B113" s="225" t="s">
        <v>279</v>
      </c>
      <c r="C113" s="87"/>
      <c r="D113" s="87"/>
      <c r="E113" s="87"/>
      <c r="F113" s="87"/>
      <c r="G113" s="87"/>
      <c r="H113" s="87"/>
      <c r="I113" s="87"/>
      <c r="J113" s="87"/>
      <c r="K113" s="87"/>
      <c r="L113" s="87"/>
    </row>
    <row r="114" spans="1:12" ht="12.75">
      <c r="A114" s="92">
        <v>2</v>
      </c>
      <c r="B114" s="225" t="s">
        <v>280</v>
      </c>
      <c r="C114" s="87"/>
      <c r="D114" s="87"/>
      <c r="E114" s="87"/>
      <c r="F114" s="87"/>
      <c r="G114" s="87"/>
      <c r="H114" s="87"/>
      <c r="I114" s="87"/>
      <c r="J114" s="87"/>
      <c r="K114" s="87"/>
      <c r="L114" s="87"/>
    </row>
    <row r="115" spans="1:12" ht="12.75">
      <c r="A115" s="103"/>
      <c r="B115" s="225"/>
      <c r="C115" s="87"/>
      <c r="D115" s="87"/>
      <c r="E115" s="87"/>
      <c r="F115" s="87"/>
      <c r="G115" s="87"/>
      <c r="H115" s="87"/>
      <c r="I115" s="87"/>
      <c r="J115" s="87"/>
      <c r="K115" s="87"/>
      <c r="L115" s="87"/>
    </row>
    <row r="116" spans="1:12" ht="12.75">
      <c r="A116" s="225" t="s">
        <v>502</v>
      </c>
      <c r="B116" s="87"/>
      <c r="C116" s="87"/>
      <c r="D116" s="87"/>
      <c r="E116" s="87"/>
      <c r="F116" s="87"/>
      <c r="G116" s="87"/>
      <c r="H116" s="87"/>
      <c r="I116" s="87"/>
      <c r="J116" s="87"/>
      <c r="K116" s="87"/>
      <c r="L116" s="87"/>
    </row>
    <row r="117" spans="1:12" ht="12.75">
      <c r="A117" s="225" t="s">
        <v>309</v>
      </c>
      <c r="B117" s="87"/>
      <c r="C117" s="87"/>
      <c r="D117" s="87"/>
      <c r="E117" s="87"/>
      <c r="F117" s="87"/>
      <c r="G117" s="87"/>
      <c r="H117" s="87"/>
      <c r="I117" s="87"/>
      <c r="J117" s="87"/>
      <c r="K117" s="87"/>
      <c r="L117" s="87"/>
    </row>
    <row r="118" spans="1:12" ht="12.75">
      <c r="A118" s="225"/>
      <c r="B118" s="87"/>
      <c r="C118" s="87"/>
      <c r="D118" s="87"/>
      <c r="E118" s="87"/>
      <c r="F118" s="87"/>
      <c r="G118" s="87"/>
      <c r="H118" s="87"/>
      <c r="I118" s="87"/>
      <c r="J118" s="87"/>
      <c r="K118" s="87"/>
      <c r="L118" s="87"/>
    </row>
    <row r="119" spans="1:12" ht="12.75">
      <c r="A119" s="237" t="s">
        <v>281</v>
      </c>
      <c r="B119" s="234" t="s">
        <v>211</v>
      </c>
      <c r="C119" s="87"/>
      <c r="D119" s="87"/>
      <c r="E119" s="87"/>
      <c r="F119" s="87"/>
      <c r="G119" s="87"/>
      <c r="H119" s="87"/>
      <c r="I119" s="87"/>
      <c r="J119" s="87"/>
      <c r="K119" s="87"/>
      <c r="L119" s="87"/>
    </row>
    <row r="120" spans="1:12" ht="12.75">
      <c r="A120" s="92">
        <v>0</v>
      </c>
      <c r="B120" s="225" t="s">
        <v>277</v>
      </c>
      <c r="C120" s="87"/>
      <c r="D120" s="87"/>
      <c r="E120" s="87"/>
      <c r="F120" s="87"/>
      <c r="G120" s="87"/>
      <c r="H120" s="87"/>
      <c r="I120" s="87"/>
      <c r="J120" s="87"/>
      <c r="K120" s="87"/>
      <c r="L120" s="87"/>
    </row>
    <row r="121" spans="1:12" ht="12.75">
      <c r="A121" s="92">
        <v>1</v>
      </c>
      <c r="B121" s="225" t="s">
        <v>285</v>
      </c>
      <c r="C121" s="87"/>
      <c r="D121" s="87"/>
      <c r="E121" s="87"/>
      <c r="F121" s="87"/>
      <c r="G121" s="87"/>
      <c r="H121" s="87"/>
      <c r="I121" s="87"/>
      <c r="J121" s="87"/>
      <c r="K121" s="87"/>
      <c r="L121" s="87"/>
    </row>
    <row r="122" spans="1:12" ht="12.75">
      <c r="A122" s="92">
        <v>1.5</v>
      </c>
      <c r="B122" s="225" t="s">
        <v>286</v>
      </c>
      <c r="C122" s="87"/>
      <c r="D122" s="87"/>
      <c r="E122" s="87"/>
      <c r="F122" s="87"/>
      <c r="G122" s="87"/>
      <c r="H122" s="87"/>
      <c r="I122" s="87"/>
      <c r="J122" s="87"/>
      <c r="K122" s="87"/>
      <c r="L122" s="87"/>
    </row>
    <row r="123" spans="1:12" ht="12.75">
      <c r="A123" s="92">
        <v>2</v>
      </c>
      <c r="B123" s="225" t="s">
        <v>287</v>
      </c>
      <c r="C123" s="87"/>
      <c r="D123" s="87"/>
      <c r="E123" s="87"/>
      <c r="F123" s="87"/>
      <c r="G123" s="87"/>
      <c r="H123" s="87"/>
      <c r="I123" s="87"/>
      <c r="J123" s="87"/>
      <c r="K123" s="87"/>
      <c r="L123" s="87"/>
    </row>
    <row r="124" spans="1:12" ht="12.75">
      <c r="A124" s="225"/>
      <c r="B124" s="225" t="s">
        <v>282</v>
      </c>
      <c r="C124" s="87"/>
      <c r="D124" s="87"/>
      <c r="E124" s="87"/>
      <c r="F124" s="87"/>
      <c r="G124" s="87"/>
      <c r="H124" s="87"/>
      <c r="I124" s="87"/>
      <c r="J124" s="87"/>
      <c r="K124" s="87"/>
      <c r="L124" s="87"/>
    </row>
    <row r="125" spans="1:12" ht="12.75">
      <c r="A125" s="225"/>
      <c r="B125" s="225"/>
      <c r="C125" s="87"/>
      <c r="D125" s="87"/>
      <c r="E125" s="87"/>
      <c r="F125" s="87"/>
      <c r="G125" s="87"/>
      <c r="H125" s="87"/>
      <c r="I125" s="87"/>
      <c r="J125" s="87"/>
      <c r="K125" s="87"/>
      <c r="L125" s="87"/>
    </row>
    <row r="126" spans="1:12" ht="12.75">
      <c r="A126" s="225" t="s">
        <v>310</v>
      </c>
      <c r="B126" s="87"/>
      <c r="C126" s="87"/>
      <c r="D126" s="87"/>
      <c r="E126" s="87"/>
      <c r="F126" s="87"/>
      <c r="G126" s="87"/>
      <c r="H126" s="87"/>
      <c r="I126" s="87"/>
      <c r="J126" s="87"/>
      <c r="K126" s="87"/>
      <c r="L126" s="87"/>
    </row>
    <row r="127" spans="1:12" ht="12.75">
      <c r="A127" s="225" t="s">
        <v>503</v>
      </c>
      <c r="B127" s="87"/>
      <c r="C127" s="87"/>
      <c r="D127" s="87"/>
      <c r="E127" s="87"/>
      <c r="F127" s="87"/>
      <c r="G127" s="87"/>
      <c r="H127" s="87"/>
      <c r="I127" s="87"/>
      <c r="J127" s="87"/>
      <c r="K127" s="87"/>
      <c r="L127" s="87"/>
    </row>
    <row r="128" spans="1:12" ht="12.75">
      <c r="A128" s="225"/>
      <c r="B128" s="87"/>
      <c r="C128" s="87"/>
      <c r="D128" s="87"/>
      <c r="E128" s="87"/>
      <c r="F128" s="87"/>
      <c r="G128" s="87"/>
      <c r="H128" s="87"/>
      <c r="I128" s="87"/>
      <c r="J128" s="87"/>
      <c r="K128" s="87"/>
      <c r="L128" s="87"/>
    </row>
    <row r="129" spans="1:12" ht="12.75">
      <c r="A129" s="225"/>
      <c r="B129" s="87"/>
      <c r="C129" s="87"/>
      <c r="D129" s="87"/>
      <c r="E129" s="87"/>
      <c r="F129" s="87"/>
      <c r="G129" s="87"/>
      <c r="H129" s="87"/>
      <c r="I129" s="87"/>
      <c r="J129" s="87"/>
      <c r="K129" s="87"/>
      <c r="L129" s="87"/>
    </row>
    <row r="130" spans="1:12" ht="12.75">
      <c r="A130" s="225"/>
      <c r="B130" s="87"/>
      <c r="C130" s="87"/>
      <c r="D130" s="87"/>
      <c r="E130" s="87"/>
      <c r="F130" s="87"/>
      <c r="G130" s="87"/>
      <c r="H130" s="87"/>
      <c r="I130" s="87"/>
      <c r="J130" s="87"/>
      <c r="K130" s="87"/>
      <c r="L130" s="87"/>
    </row>
    <row r="131" spans="1:12" ht="12.75">
      <c r="A131" s="225"/>
      <c r="B131" s="87"/>
      <c r="C131" s="87"/>
      <c r="D131" s="87"/>
      <c r="E131" s="87"/>
      <c r="F131" s="87"/>
      <c r="G131" s="87"/>
      <c r="H131" s="87"/>
      <c r="I131" s="87"/>
      <c r="J131" s="87"/>
      <c r="K131" s="87"/>
      <c r="L131" s="87"/>
    </row>
    <row r="132" spans="1:12" ht="12.75">
      <c r="A132" s="225"/>
      <c r="B132" s="87"/>
      <c r="C132" s="87"/>
      <c r="D132" s="87"/>
      <c r="E132" s="87"/>
      <c r="F132" s="87"/>
      <c r="G132" s="87"/>
      <c r="H132" s="87"/>
      <c r="I132" s="87"/>
      <c r="J132" s="87"/>
      <c r="K132" s="87"/>
      <c r="L132" s="87"/>
    </row>
    <row r="133" spans="1:12" ht="12.75">
      <c r="A133" s="225"/>
      <c r="B133" s="87"/>
      <c r="C133" s="87"/>
      <c r="D133" s="87"/>
      <c r="E133" s="87"/>
      <c r="F133" s="87"/>
      <c r="G133" s="87"/>
      <c r="H133" s="87"/>
      <c r="I133" s="87"/>
      <c r="J133" s="87"/>
      <c r="K133" s="87"/>
      <c r="L133" s="87"/>
    </row>
    <row r="134" spans="1:12" ht="12.75">
      <c r="A134" s="225"/>
      <c r="B134" s="87"/>
      <c r="C134" s="87"/>
      <c r="D134" s="87"/>
      <c r="E134" s="87"/>
      <c r="F134" s="87"/>
      <c r="G134" s="87"/>
      <c r="H134" s="87"/>
      <c r="I134" s="87"/>
      <c r="J134" s="87"/>
      <c r="K134" s="87"/>
      <c r="L134" s="87"/>
    </row>
    <row r="135" spans="1:12" ht="12.75">
      <c r="A135" s="225"/>
      <c r="B135" s="87"/>
      <c r="C135" s="87"/>
      <c r="D135" s="87"/>
      <c r="E135" s="87"/>
      <c r="F135" s="87"/>
      <c r="G135" s="87"/>
      <c r="H135" s="87"/>
      <c r="I135" s="87"/>
      <c r="J135" s="87"/>
      <c r="K135" s="87"/>
      <c r="L135" s="87"/>
    </row>
    <row r="136" spans="1:12" ht="12.75">
      <c r="A136" s="225"/>
      <c r="B136" s="87"/>
      <c r="C136" s="87"/>
      <c r="D136" s="87"/>
      <c r="E136" s="87"/>
      <c r="F136" s="87"/>
      <c r="G136" s="87"/>
      <c r="H136" s="87"/>
      <c r="I136" s="87"/>
      <c r="J136" s="87"/>
      <c r="K136" s="87"/>
      <c r="L136" s="87"/>
    </row>
    <row r="137" spans="1:12" ht="12.75">
      <c r="A137" s="225"/>
      <c r="B137" s="87"/>
      <c r="C137" s="87"/>
      <c r="D137" s="87"/>
      <c r="E137" s="87"/>
      <c r="F137" s="87"/>
      <c r="G137" s="87"/>
      <c r="H137" s="87"/>
      <c r="I137" s="87"/>
      <c r="J137" s="87"/>
      <c r="K137" s="87"/>
      <c r="L137" s="87"/>
    </row>
    <row r="138" spans="1:12" ht="12.75">
      <c r="A138" s="225"/>
      <c r="B138" s="87"/>
      <c r="C138" s="87"/>
      <c r="D138" s="87"/>
      <c r="E138" s="87"/>
      <c r="F138" s="87"/>
      <c r="G138" s="87"/>
      <c r="H138" s="87"/>
      <c r="I138" s="87"/>
      <c r="J138" s="87"/>
      <c r="K138" s="87"/>
      <c r="L138" s="87"/>
    </row>
    <row r="139" spans="1:12" ht="12.75">
      <c r="A139" s="225"/>
      <c r="B139" s="87"/>
      <c r="C139" s="87"/>
      <c r="D139" s="87"/>
      <c r="E139" s="87"/>
      <c r="F139" s="87"/>
      <c r="G139" s="87"/>
      <c r="H139" s="87"/>
      <c r="I139" s="87"/>
      <c r="J139" s="87"/>
      <c r="K139" s="87"/>
      <c r="L139" s="87"/>
    </row>
    <row r="140" spans="1:12" ht="12.75">
      <c r="A140" s="225"/>
      <c r="B140" s="87"/>
      <c r="C140" s="87"/>
      <c r="D140" s="87"/>
      <c r="E140" s="87"/>
      <c r="F140" s="87"/>
      <c r="G140" s="87"/>
      <c r="H140" s="87"/>
      <c r="I140" s="87"/>
      <c r="J140" s="87"/>
      <c r="K140" s="87"/>
      <c r="L140" s="87"/>
    </row>
    <row r="141" spans="1:12" ht="12.75">
      <c r="A141" s="225"/>
      <c r="B141" s="87"/>
      <c r="C141" s="87"/>
      <c r="D141" s="87"/>
      <c r="E141" s="87"/>
      <c r="F141" s="87"/>
      <c r="G141" s="87"/>
      <c r="H141" s="87"/>
      <c r="I141" s="87"/>
      <c r="J141" s="87"/>
      <c r="K141" s="87"/>
      <c r="L141" s="87"/>
    </row>
    <row r="142" spans="1:12" ht="12.75">
      <c r="A142" s="225"/>
      <c r="B142" s="87"/>
      <c r="C142" s="87"/>
      <c r="D142" s="87"/>
      <c r="E142" s="87"/>
      <c r="F142" s="87"/>
      <c r="G142" s="87"/>
      <c r="H142" s="87"/>
      <c r="I142" s="87"/>
      <c r="J142" s="87"/>
      <c r="K142" s="87"/>
      <c r="L142" s="87"/>
    </row>
    <row r="143" spans="1:12" ht="12.75">
      <c r="A143" s="225"/>
      <c r="B143" s="87"/>
      <c r="C143" s="87"/>
      <c r="D143" s="87"/>
      <c r="E143" s="87"/>
      <c r="F143" s="87"/>
      <c r="G143" s="87"/>
      <c r="H143" s="87"/>
      <c r="I143" s="87"/>
      <c r="J143" s="87"/>
      <c r="K143" s="87"/>
      <c r="L143" s="87"/>
    </row>
    <row r="144" spans="1:12" ht="12.75">
      <c r="A144" s="225"/>
      <c r="B144" s="87"/>
      <c r="C144" s="87"/>
      <c r="D144" s="87"/>
      <c r="E144" s="87"/>
      <c r="F144" s="87"/>
      <c r="G144" s="87"/>
      <c r="H144" s="87"/>
      <c r="I144" s="87"/>
      <c r="J144" s="87"/>
      <c r="K144" s="87"/>
      <c r="L144" s="87"/>
    </row>
    <row r="145" spans="1:12" ht="12.75">
      <c r="A145" s="225"/>
      <c r="B145" s="87"/>
      <c r="C145" s="87"/>
      <c r="D145" s="87"/>
      <c r="E145" s="87"/>
      <c r="F145" s="87"/>
      <c r="G145" s="87"/>
      <c r="H145" s="87"/>
      <c r="I145" s="87"/>
      <c r="J145" s="87"/>
      <c r="K145" s="87"/>
      <c r="L145" s="87"/>
    </row>
    <row r="146" spans="1:12" ht="12.75">
      <c r="A146" s="225"/>
      <c r="B146" s="87"/>
      <c r="C146" s="87"/>
      <c r="D146" s="87"/>
      <c r="E146" s="87"/>
      <c r="F146" s="87"/>
      <c r="G146" s="87"/>
      <c r="H146" s="87"/>
      <c r="I146" s="87"/>
      <c r="J146" s="87"/>
      <c r="K146" s="87"/>
      <c r="L146" s="87"/>
    </row>
    <row r="147" spans="1:12" ht="12.75">
      <c r="A147" s="225"/>
      <c r="B147" s="87"/>
      <c r="C147" s="87"/>
      <c r="D147" s="87"/>
      <c r="E147" s="87"/>
      <c r="F147" s="87"/>
      <c r="G147" s="87"/>
      <c r="H147" s="87"/>
      <c r="I147" s="87"/>
      <c r="J147" s="87"/>
      <c r="K147" s="87"/>
      <c r="L147" s="87"/>
    </row>
    <row r="148" spans="1:12" ht="12.75">
      <c r="A148" s="225"/>
      <c r="B148" s="87"/>
      <c r="C148" s="87"/>
      <c r="D148" s="87"/>
      <c r="E148" s="87"/>
      <c r="F148" s="87"/>
      <c r="G148" s="87"/>
      <c r="H148" s="87"/>
      <c r="I148" s="87"/>
      <c r="J148" s="87"/>
      <c r="K148" s="87"/>
      <c r="L148" s="87"/>
    </row>
    <row r="149" spans="1:12" ht="12.75">
      <c r="A149" s="225"/>
      <c r="B149" s="87"/>
      <c r="C149" s="87"/>
      <c r="D149" s="87"/>
      <c r="E149" s="87"/>
      <c r="F149" s="87"/>
      <c r="G149" s="87"/>
      <c r="H149" s="87"/>
      <c r="I149" s="87"/>
      <c r="J149" s="87"/>
      <c r="K149" s="87"/>
      <c r="L149" s="87"/>
    </row>
    <row r="150" spans="1:12" ht="12.75">
      <c r="A150" s="225"/>
      <c r="B150" s="87"/>
      <c r="C150" s="87"/>
      <c r="D150" s="87"/>
      <c r="E150" s="87"/>
      <c r="F150" s="87"/>
      <c r="G150" s="87"/>
      <c r="H150" s="87"/>
      <c r="I150" s="87"/>
      <c r="J150" s="87"/>
      <c r="K150" s="87"/>
      <c r="L150" s="87"/>
    </row>
    <row r="151" spans="1:12" ht="12.75">
      <c r="A151" s="225"/>
      <c r="B151" s="87"/>
      <c r="C151" s="87"/>
      <c r="D151" s="87"/>
      <c r="E151" s="87"/>
      <c r="F151" s="87"/>
      <c r="G151" s="87"/>
      <c r="H151" s="87"/>
      <c r="I151" s="87"/>
      <c r="J151" s="87"/>
      <c r="K151" s="87"/>
      <c r="L151" s="87"/>
    </row>
    <row r="152" spans="1:12" ht="15.75">
      <c r="A152" s="235" t="s">
        <v>508</v>
      </c>
      <c r="B152" s="87"/>
      <c r="C152" s="87"/>
      <c r="D152" s="87"/>
      <c r="E152" s="87"/>
      <c r="F152" s="87"/>
      <c r="G152" s="87"/>
      <c r="H152" s="87"/>
      <c r="I152" s="87"/>
      <c r="J152" s="87"/>
      <c r="K152" s="87"/>
      <c r="L152" s="87"/>
    </row>
    <row r="153" spans="1:12" ht="15.75">
      <c r="A153" s="235"/>
      <c r="B153" s="87"/>
      <c r="C153" s="87"/>
      <c r="D153" s="87"/>
      <c r="E153" s="87"/>
      <c r="F153" s="87"/>
      <c r="G153" s="87"/>
      <c r="H153" s="87"/>
      <c r="I153" s="87"/>
      <c r="J153" s="87"/>
      <c r="K153" s="87"/>
      <c r="L153" s="87"/>
    </row>
    <row r="154" spans="1:12" ht="12.75">
      <c r="A154" s="225" t="s">
        <v>303</v>
      </c>
      <c r="B154" s="87"/>
      <c r="C154" s="87"/>
      <c r="D154" s="87"/>
      <c r="E154" s="87"/>
      <c r="F154" s="87"/>
      <c r="G154" s="87"/>
      <c r="H154" s="87"/>
      <c r="I154" s="87"/>
      <c r="J154" s="87"/>
      <c r="K154" s="87"/>
      <c r="L154" s="87"/>
    </row>
    <row r="155" spans="1:12" ht="12.75">
      <c r="A155" s="225" t="s">
        <v>302</v>
      </c>
      <c r="B155" s="87"/>
      <c r="C155" s="87"/>
      <c r="D155" s="87"/>
      <c r="E155" s="87"/>
      <c r="F155" s="87"/>
      <c r="G155" s="87"/>
      <c r="H155" s="87"/>
      <c r="I155" s="87"/>
      <c r="J155" s="87"/>
      <c r="K155" s="87"/>
      <c r="L155" s="87"/>
    </row>
    <row r="156" spans="1:12" ht="12.75">
      <c r="A156" s="225" t="s">
        <v>330</v>
      </c>
      <c r="B156" s="87"/>
      <c r="C156" s="87"/>
      <c r="D156" s="87"/>
      <c r="E156" s="87"/>
      <c r="F156" s="87"/>
      <c r="G156" s="87"/>
      <c r="H156" s="87"/>
      <c r="I156" s="87"/>
      <c r="J156" s="87"/>
      <c r="K156" s="87"/>
      <c r="L156" s="87"/>
    </row>
    <row r="157" spans="1:12" ht="12.75">
      <c r="A157" s="225"/>
      <c r="B157" s="87"/>
      <c r="C157" s="87"/>
      <c r="D157" s="87"/>
      <c r="E157" s="87"/>
      <c r="F157" s="87"/>
      <c r="G157" s="87"/>
      <c r="H157" s="87"/>
      <c r="I157" s="87"/>
      <c r="J157" s="87"/>
      <c r="K157" s="87"/>
      <c r="L157" s="87"/>
    </row>
    <row r="158" spans="1:12" ht="14.25">
      <c r="A158" s="244" t="s">
        <v>308</v>
      </c>
      <c r="B158" s="87"/>
      <c r="C158" s="87"/>
      <c r="D158" s="87"/>
      <c r="E158" s="87"/>
      <c r="F158" s="87"/>
      <c r="G158" s="87"/>
      <c r="H158" s="87"/>
      <c r="I158" s="87"/>
      <c r="J158" s="87"/>
      <c r="K158" s="87"/>
      <c r="L158" s="87"/>
    </row>
    <row r="159" spans="1:12" ht="14.25">
      <c r="A159" s="244"/>
      <c r="B159" s="87"/>
      <c r="C159" s="87"/>
      <c r="D159" s="87"/>
      <c r="E159" s="87"/>
      <c r="F159" s="87"/>
      <c r="G159" s="87"/>
      <c r="H159" s="87"/>
      <c r="I159" s="87"/>
      <c r="J159" s="87"/>
      <c r="K159" s="87"/>
      <c r="L159" s="87"/>
    </row>
    <row r="160" spans="1:12" ht="12.75">
      <c r="A160" s="234" t="s">
        <v>284</v>
      </c>
      <c r="B160" s="237" t="s">
        <v>283</v>
      </c>
      <c r="C160" s="87"/>
      <c r="D160" s="87"/>
      <c r="E160" s="87"/>
      <c r="F160" s="87"/>
      <c r="G160" s="87"/>
      <c r="H160" s="87"/>
      <c r="I160" s="87"/>
      <c r="J160" s="87"/>
      <c r="K160" s="87"/>
      <c r="L160" s="87"/>
    </row>
    <row r="161" spans="1:12" ht="12.75">
      <c r="A161" s="227" t="s">
        <v>245</v>
      </c>
      <c r="B161" s="238">
        <v>0.98</v>
      </c>
      <c r="C161" s="227"/>
      <c r="D161" s="87"/>
      <c r="E161" s="87"/>
      <c r="F161" s="87"/>
      <c r="G161" s="87"/>
      <c r="H161" s="87"/>
      <c r="I161" s="87"/>
      <c r="J161" s="87"/>
      <c r="K161" s="87"/>
      <c r="L161" s="87"/>
    </row>
    <row r="162" spans="1:12" ht="12.75">
      <c r="A162" s="227" t="s">
        <v>244</v>
      </c>
      <c r="B162" s="238">
        <v>25000</v>
      </c>
      <c r="C162" s="227"/>
      <c r="D162" s="87"/>
      <c r="E162" s="87"/>
      <c r="F162" s="87"/>
      <c r="G162" s="87"/>
      <c r="H162" s="87"/>
      <c r="I162" s="87"/>
      <c r="J162" s="87"/>
      <c r="K162" s="87"/>
      <c r="L162" s="87"/>
    </row>
    <row r="163" spans="1:12" ht="12.75">
      <c r="A163" s="227" t="s">
        <v>304</v>
      </c>
      <c r="B163" s="238">
        <v>200</v>
      </c>
      <c r="C163" s="227"/>
      <c r="D163" s="87"/>
      <c r="E163" s="87"/>
      <c r="F163" s="87"/>
      <c r="G163" s="87"/>
      <c r="H163" s="87"/>
      <c r="I163" s="87"/>
      <c r="J163" s="87"/>
      <c r="K163" s="87"/>
      <c r="L163" s="87"/>
    </row>
    <row r="164" spans="1:12" ht="12.75">
      <c r="A164" s="227"/>
      <c r="B164" s="238"/>
      <c r="C164" s="227"/>
      <c r="D164" s="87"/>
      <c r="E164" s="87"/>
      <c r="F164" s="87"/>
      <c r="G164" s="87"/>
      <c r="H164" s="87"/>
      <c r="I164" s="87"/>
      <c r="J164" s="87"/>
      <c r="K164" s="87"/>
      <c r="L164" s="87"/>
    </row>
    <row r="165" spans="1:12" ht="14.25">
      <c r="A165" s="244"/>
      <c r="B165" s="227"/>
      <c r="C165" s="227"/>
      <c r="D165" s="87"/>
      <c r="E165" s="87"/>
      <c r="F165" s="87"/>
      <c r="G165" s="87"/>
      <c r="H165" s="87"/>
      <c r="I165" s="87"/>
      <c r="J165" s="87"/>
      <c r="K165" s="87"/>
      <c r="L165" s="87"/>
    </row>
    <row r="166" spans="1:12" ht="12.75">
      <c r="A166" s="240" t="s">
        <v>246</v>
      </c>
      <c r="B166" s="240" t="s">
        <v>288</v>
      </c>
      <c r="C166" s="242" t="s">
        <v>331</v>
      </c>
      <c r="D166" s="87"/>
      <c r="E166" s="87"/>
      <c r="F166" s="87"/>
      <c r="G166" s="87"/>
      <c r="H166" s="87"/>
      <c r="I166" s="87"/>
      <c r="J166" s="87"/>
      <c r="K166" s="87"/>
      <c r="L166" s="87"/>
    </row>
    <row r="167" spans="1:12" ht="12.75">
      <c r="A167" s="227" t="s">
        <v>82</v>
      </c>
      <c r="B167" s="261">
        <v>25000</v>
      </c>
      <c r="C167" s="261">
        <v>40000</v>
      </c>
      <c r="D167" s="87"/>
      <c r="E167" s="87"/>
      <c r="F167" s="87"/>
      <c r="G167" s="87"/>
      <c r="H167" s="87"/>
      <c r="I167" s="87"/>
      <c r="J167" s="87"/>
      <c r="K167" s="87"/>
      <c r="L167" s="87"/>
    </row>
    <row r="168" spans="1:12" ht="12.75">
      <c r="A168" s="227" t="s">
        <v>80</v>
      </c>
      <c r="B168" s="261">
        <v>80000</v>
      </c>
      <c r="C168" s="261">
        <v>40000</v>
      </c>
      <c r="D168" s="87"/>
      <c r="E168" s="87"/>
      <c r="F168" s="87"/>
      <c r="G168" s="87"/>
      <c r="H168" s="87"/>
      <c r="I168" s="87"/>
      <c r="J168" s="87"/>
      <c r="K168" s="87"/>
      <c r="L168" s="87"/>
    </row>
    <row r="169" spans="1:12" ht="12.75">
      <c r="A169" s="227" t="s">
        <v>88</v>
      </c>
      <c r="B169" s="261">
        <v>4000</v>
      </c>
      <c r="C169" s="261">
        <v>40000</v>
      </c>
      <c r="D169" s="87"/>
      <c r="E169" s="87"/>
      <c r="F169" s="87"/>
      <c r="G169" s="87"/>
      <c r="H169" s="87"/>
      <c r="I169" s="87"/>
      <c r="J169" s="87"/>
      <c r="K169" s="87"/>
      <c r="L169" s="87"/>
    </row>
    <row r="170" spans="1:12" ht="12.75">
      <c r="A170" s="227" t="s">
        <v>84</v>
      </c>
      <c r="B170" s="261">
        <v>7000</v>
      </c>
      <c r="C170" s="261">
        <v>40000</v>
      </c>
      <c r="D170" s="87"/>
      <c r="E170" s="87"/>
      <c r="F170" s="87"/>
      <c r="G170" s="87"/>
      <c r="H170" s="87"/>
      <c r="I170" s="87"/>
      <c r="J170" s="87"/>
      <c r="K170" s="87"/>
      <c r="L170" s="87"/>
    </row>
    <row r="171" spans="1:12" ht="12.75">
      <c r="A171" s="227"/>
      <c r="B171" s="238"/>
      <c r="C171" s="238"/>
      <c r="D171" s="87"/>
      <c r="E171" s="87"/>
      <c r="F171" s="87"/>
      <c r="G171" s="87"/>
      <c r="H171" s="87"/>
      <c r="I171" s="87"/>
      <c r="J171" s="87"/>
      <c r="K171" s="87"/>
      <c r="L171" s="87"/>
    </row>
    <row r="172" spans="1:12" ht="12.75">
      <c r="A172" s="87"/>
      <c r="B172" s="87"/>
      <c r="C172" s="87"/>
      <c r="D172" s="87"/>
      <c r="E172" s="87"/>
      <c r="F172" s="87"/>
      <c r="G172" s="87"/>
      <c r="H172" s="87"/>
      <c r="I172" s="87"/>
      <c r="J172" s="87"/>
      <c r="K172" s="87"/>
      <c r="L172" s="87"/>
    </row>
    <row r="173" spans="1:12" ht="12.75">
      <c r="A173" s="228" t="s">
        <v>127</v>
      </c>
      <c r="B173" s="242" t="s">
        <v>311</v>
      </c>
      <c r="C173" s="87"/>
      <c r="D173" s="87"/>
      <c r="E173" s="87"/>
      <c r="F173" s="87"/>
      <c r="G173" s="87"/>
      <c r="H173" s="87"/>
      <c r="I173" s="87"/>
      <c r="J173" s="87"/>
      <c r="K173" s="87"/>
      <c r="L173" s="87"/>
    </row>
    <row r="174" spans="1:12" ht="12.75">
      <c r="A174" s="227" t="s">
        <v>132</v>
      </c>
      <c r="B174" s="261">
        <v>60000</v>
      </c>
      <c r="C174" s="87"/>
      <c r="D174" s="87"/>
      <c r="E174" s="87"/>
      <c r="F174" s="87"/>
      <c r="G174" s="87"/>
      <c r="H174" s="87"/>
      <c r="I174" s="87"/>
      <c r="J174" s="87"/>
      <c r="K174" s="87"/>
      <c r="L174" s="87"/>
    </row>
    <row r="175" spans="1:12" ht="12.75">
      <c r="A175" s="227" t="s">
        <v>133</v>
      </c>
      <c r="B175" s="261">
        <v>80000</v>
      </c>
      <c r="C175" s="227"/>
      <c r="D175" s="87"/>
      <c r="E175" s="87"/>
      <c r="F175" s="87"/>
      <c r="G175" s="87"/>
      <c r="H175" s="87"/>
      <c r="I175" s="87"/>
      <c r="J175" s="87"/>
      <c r="K175" s="87"/>
      <c r="L175" s="87"/>
    </row>
    <row r="176" spans="1:12" ht="12.75">
      <c r="A176" s="227" t="s">
        <v>248</v>
      </c>
      <c r="B176" s="261">
        <v>125000</v>
      </c>
      <c r="C176" s="227"/>
      <c r="D176" s="87"/>
      <c r="E176" s="87"/>
      <c r="F176" s="87"/>
      <c r="G176" s="87"/>
      <c r="H176" s="87"/>
      <c r="I176" s="87"/>
      <c r="J176" s="87"/>
      <c r="K176" s="87"/>
      <c r="L176" s="87"/>
    </row>
    <row r="177" spans="1:12" ht="12.75">
      <c r="A177" s="227" t="s">
        <v>125</v>
      </c>
      <c r="B177" s="261">
        <v>70000</v>
      </c>
      <c r="C177" s="227"/>
      <c r="D177" s="84"/>
      <c r="E177" s="84"/>
      <c r="F177" s="87"/>
      <c r="G177" s="87"/>
      <c r="H177" s="87"/>
      <c r="I177" s="87"/>
      <c r="J177" s="87"/>
      <c r="K177" s="87"/>
      <c r="L177" s="87"/>
    </row>
    <row r="178" spans="1:12" ht="12.75">
      <c r="A178" s="227" t="s">
        <v>120</v>
      </c>
      <c r="B178" s="261">
        <v>125000</v>
      </c>
      <c r="C178" s="227"/>
      <c r="D178" s="84"/>
      <c r="E178" s="84"/>
      <c r="F178" s="84"/>
      <c r="G178" s="84"/>
      <c r="H178" s="84"/>
      <c r="I178" s="84"/>
      <c r="J178" s="84"/>
      <c r="K178" s="84"/>
      <c r="L178" s="84"/>
    </row>
    <row r="179" spans="1:12" ht="12.75">
      <c r="A179" s="227" t="s">
        <v>249</v>
      </c>
      <c r="B179" s="261">
        <v>70000</v>
      </c>
      <c r="C179" s="227"/>
      <c r="D179" s="84"/>
      <c r="E179" s="84"/>
      <c r="F179" s="84"/>
      <c r="G179" s="84"/>
      <c r="H179" s="84"/>
      <c r="I179" s="84"/>
      <c r="J179" s="84"/>
      <c r="K179" s="84"/>
      <c r="L179" s="84"/>
    </row>
    <row r="180" spans="1:12" ht="12.75">
      <c r="A180" s="87"/>
      <c r="B180" s="238"/>
      <c r="C180" s="227"/>
      <c r="D180" s="84"/>
      <c r="E180" s="84"/>
      <c r="F180" s="84"/>
      <c r="G180" s="84"/>
      <c r="H180" s="84"/>
      <c r="I180" s="84"/>
      <c r="J180" s="84"/>
      <c r="K180" s="84"/>
      <c r="L180" s="84"/>
    </row>
    <row r="181" spans="1:12" ht="12.75">
      <c r="A181" s="87"/>
      <c r="B181" s="238"/>
      <c r="C181" s="227"/>
      <c r="D181" s="84"/>
      <c r="E181" s="84"/>
      <c r="F181" s="84"/>
      <c r="G181" s="84"/>
      <c r="H181" s="84"/>
      <c r="I181" s="84"/>
      <c r="J181" s="84"/>
      <c r="K181" s="84"/>
      <c r="L181" s="84"/>
    </row>
    <row r="182" spans="1:12" ht="12.75">
      <c r="A182" s="228" t="s">
        <v>305</v>
      </c>
      <c r="B182" s="242" t="s">
        <v>289</v>
      </c>
      <c r="C182" s="227"/>
      <c r="D182" s="84"/>
      <c r="E182" s="84"/>
      <c r="F182" s="84"/>
      <c r="G182" s="84"/>
      <c r="H182" s="84"/>
      <c r="I182" s="84"/>
      <c r="J182" s="84"/>
      <c r="K182" s="84"/>
      <c r="L182" s="84"/>
    </row>
    <row r="183" spans="1:12" ht="12.75">
      <c r="A183" s="245" t="s">
        <v>251</v>
      </c>
      <c r="B183" s="92">
        <v>25</v>
      </c>
      <c r="C183" s="225"/>
      <c r="D183" s="225"/>
      <c r="E183" s="87"/>
      <c r="F183" s="84"/>
      <c r="G183" s="84"/>
      <c r="H183" s="84"/>
      <c r="I183" s="84"/>
      <c r="J183" s="84"/>
      <c r="K183" s="84"/>
      <c r="L183" s="84"/>
    </row>
    <row r="184" spans="1:12" ht="12.75">
      <c r="A184" s="225" t="s">
        <v>328</v>
      </c>
      <c r="C184" s="225"/>
      <c r="D184" s="225"/>
      <c r="E184" s="87"/>
      <c r="F184" s="84"/>
      <c r="G184" s="84"/>
      <c r="H184" s="84"/>
      <c r="I184" s="84"/>
      <c r="J184" s="84"/>
      <c r="K184" s="84"/>
      <c r="L184" s="84"/>
    </row>
    <row r="185" spans="1:12" ht="12.75">
      <c r="A185" s="246" t="s">
        <v>140</v>
      </c>
      <c r="B185" s="238">
        <v>3500</v>
      </c>
      <c r="C185" s="225"/>
      <c r="D185" s="225"/>
      <c r="E185" s="87"/>
      <c r="F185" s="84"/>
      <c r="G185" s="84"/>
      <c r="H185" s="84"/>
      <c r="I185" s="84"/>
      <c r="J185" s="84"/>
      <c r="K185" s="84"/>
      <c r="L185" s="84"/>
    </row>
    <row r="186" spans="1:12" ht="12.75">
      <c r="A186" s="246" t="s">
        <v>196</v>
      </c>
      <c r="B186" s="238">
        <v>175</v>
      </c>
      <c r="C186" s="225"/>
      <c r="D186" s="225"/>
      <c r="E186" s="87"/>
      <c r="F186" s="84"/>
      <c r="G186" s="84"/>
      <c r="H186" s="84"/>
      <c r="I186" s="84"/>
      <c r="J186" s="84"/>
      <c r="K186" s="84"/>
      <c r="L186" s="84"/>
    </row>
    <row r="187" spans="1:12" ht="12.75">
      <c r="A187" s="246" t="s">
        <v>139</v>
      </c>
      <c r="B187" s="238">
        <v>175</v>
      </c>
      <c r="C187" s="225"/>
      <c r="D187" s="225"/>
      <c r="E187" s="87"/>
      <c r="F187" s="84"/>
      <c r="G187" s="84"/>
      <c r="H187" s="84"/>
      <c r="I187" s="84"/>
      <c r="J187" s="84"/>
      <c r="K187" s="84"/>
      <c r="L187" s="84"/>
    </row>
    <row r="188" spans="1:12" ht="12.75">
      <c r="A188" s="245" t="s">
        <v>329</v>
      </c>
      <c r="B188" s="227"/>
      <c r="C188" s="225"/>
      <c r="D188" s="225"/>
      <c r="E188" s="87"/>
      <c r="F188" s="84"/>
      <c r="G188" s="84"/>
      <c r="H188" s="84"/>
      <c r="I188" s="84"/>
      <c r="J188" s="84"/>
      <c r="K188" s="84"/>
      <c r="L188" s="84"/>
    </row>
    <row r="189" spans="1:12" ht="12.75">
      <c r="A189" s="246" t="s">
        <v>140</v>
      </c>
      <c r="B189" s="238">
        <v>175</v>
      </c>
      <c r="C189" s="87"/>
      <c r="D189" s="87"/>
      <c r="E189" s="87"/>
      <c r="F189" s="84"/>
      <c r="G189" s="84"/>
      <c r="H189" s="84"/>
      <c r="I189" s="84"/>
      <c r="J189" s="84"/>
      <c r="K189" s="84"/>
      <c r="L189" s="84"/>
    </row>
    <row r="190" spans="1:12" ht="12.75">
      <c r="A190" s="246" t="s">
        <v>196</v>
      </c>
      <c r="B190" s="238">
        <v>50</v>
      </c>
      <c r="C190" s="87"/>
      <c r="D190" s="87"/>
      <c r="E190" s="87"/>
      <c r="F190" s="87"/>
      <c r="G190" s="84"/>
      <c r="H190" s="84"/>
      <c r="I190" s="84"/>
      <c r="J190" s="84"/>
      <c r="K190" s="84"/>
      <c r="L190" s="84"/>
    </row>
    <row r="191" spans="1:12" ht="12.75">
      <c r="A191" s="246" t="s">
        <v>139</v>
      </c>
      <c r="B191" s="238">
        <v>50</v>
      </c>
      <c r="C191" s="87"/>
      <c r="D191" s="87"/>
      <c r="E191" s="87"/>
      <c r="F191" s="87"/>
      <c r="G191" s="84"/>
      <c r="H191" s="84"/>
      <c r="I191" s="84"/>
      <c r="J191" s="84"/>
      <c r="K191" s="84"/>
      <c r="L191" s="84"/>
    </row>
    <row r="192" spans="1:12" ht="12.75">
      <c r="A192" s="245" t="s">
        <v>290</v>
      </c>
      <c r="B192" s="238">
        <v>150</v>
      </c>
      <c r="C192" s="87"/>
      <c r="D192" s="87"/>
      <c r="E192" s="87"/>
      <c r="F192" s="87"/>
      <c r="G192" s="84"/>
      <c r="H192" s="84"/>
      <c r="I192" s="84"/>
      <c r="J192" s="84"/>
      <c r="K192" s="84"/>
      <c r="L192" s="84"/>
    </row>
    <row r="193" spans="1:12" ht="12.75">
      <c r="A193" s="227" t="s">
        <v>291</v>
      </c>
      <c r="B193" s="256" t="s">
        <v>306</v>
      </c>
      <c r="C193" s="238"/>
      <c r="D193" s="238"/>
      <c r="E193" s="238"/>
      <c r="G193" s="84"/>
      <c r="H193" s="84"/>
      <c r="I193" s="84"/>
      <c r="J193" s="84"/>
      <c r="K193" s="84"/>
      <c r="L193" s="84"/>
    </row>
    <row r="194" spans="1:12" ht="12.75">
      <c r="A194" s="227"/>
      <c r="B194" s="256"/>
      <c r="C194" s="238"/>
      <c r="D194" s="238"/>
      <c r="E194" s="238"/>
      <c r="F194" s="84"/>
      <c r="G194" s="84"/>
      <c r="H194" s="84"/>
      <c r="I194" s="84"/>
      <c r="J194" s="84"/>
      <c r="K194" s="84"/>
      <c r="L194" s="84"/>
    </row>
    <row r="195" spans="1:12" ht="12.75">
      <c r="A195" s="227"/>
      <c r="B195" s="238"/>
      <c r="C195" s="238"/>
      <c r="D195" s="238"/>
      <c r="E195" s="238"/>
      <c r="F195" s="84"/>
      <c r="G195" s="84"/>
      <c r="H195" s="84"/>
      <c r="I195" s="84"/>
      <c r="J195" s="84"/>
      <c r="K195" s="84"/>
      <c r="L195" s="84"/>
    </row>
    <row r="196" spans="1:12" ht="12.75">
      <c r="A196" s="240" t="s">
        <v>263</v>
      </c>
      <c r="B196" s="242" t="s">
        <v>283</v>
      </c>
      <c r="C196" s="238"/>
      <c r="D196" s="238"/>
      <c r="E196" s="238"/>
      <c r="F196" s="84"/>
      <c r="G196" s="84"/>
      <c r="H196" s="84"/>
      <c r="I196" s="84"/>
      <c r="J196" s="84"/>
      <c r="K196" s="84"/>
      <c r="L196" s="84"/>
    </row>
    <row r="197" spans="1:12" ht="12.75">
      <c r="A197" s="246" t="s">
        <v>426</v>
      </c>
      <c r="B197" s="256" t="s">
        <v>306</v>
      </c>
      <c r="C197" s="238"/>
      <c r="D197" s="429" t="s">
        <v>504</v>
      </c>
      <c r="E197" s="238"/>
      <c r="F197" s="84"/>
      <c r="G197" s="84"/>
      <c r="H197" s="84"/>
      <c r="I197" s="84"/>
      <c r="J197" s="84"/>
      <c r="K197" s="84"/>
      <c r="L197" s="84"/>
    </row>
    <row r="198" spans="1:12" ht="12.75">
      <c r="A198" s="255" t="s">
        <v>319</v>
      </c>
      <c r="B198" s="256" t="s">
        <v>306</v>
      </c>
      <c r="C198" s="87"/>
      <c r="D198" s="430" t="s">
        <v>506</v>
      </c>
      <c r="E198" s="238"/>
      <c r="F198" s="84"/>
      <c r="G198" s="84"/>
      <c r="H198" s="84"/>
      <c r="I198" s="84"/>
      <c r="J198" s="84"/>
      <c r="K198" s="84"/>
      <c r="L198" s="84"/>
    </row>
    <row r="199" spans="1:12" ht="12.75">
      <c r="A199" s="246" t="s">
        <v>292</v>
      </c>
      <c r="B199" s="256" t="s">
        <v>306</v>
      </c>
      <c r="C199" s="238"/>
      <c r="D199" s="227" t="s">
        <v>505</v>
      </c>
      <c r="E199" s="238"/>
      <c r="F199" s="84"/>
      <c r="G199" s="84"/>
      <c r="H199" s="84"/>
      <c r="I199" s="84"/>
      <c r="J199" s="84"/>
      <c r="K199" s="84"/>
      <c r="L199" s="84"/>
    </row>
    <row r="200" spans="1:12" ht="12.75">
      <c r="A200" s="246" t="s">
        <v>293</v>
      </c>
      <c r="B200" s="256" t="s">
        <v>306</v>
      </c>
      <c r="C200" s="84"/>
      <c r="D200" s="227" t="s">
        <v>507</v>
      </c>
      <c r="E200" s="84"/>
      <c r="F200" s="84"/>
      <c r="G200" s="84"/>
      <c r="H200" s="84"/>
      <c r="I200" s="84"/>
      <c r="J200" s="84"/>
      <c r="K200" s="84"/>
      <c r="L200" s="84"/>
    </row>
    <row r="201" spans="1:12" ht="12.75">
      <c r="A201" s="271" t="s">
        <v>312</v>
      </c>
      <c r="B201" s="256" t="s">
        <v>306</v>
      </c>
      <c r="C201" s="247"/>
      <c r="D201" s="247" t="s">
        <v>513</v>
      </c>
      <c r="E201" s="84"/>
      <c r="F201" s="84"/>
      <c r="G201" s="84"/>
      <c r="H201" s="84"/>
      <c r="I201" s="84"/>
      <c r="J201" s="84"/>
      <c r="K201" s="84"/>
      <c r="L201" s="84"/>
    </row>
    <row r="202" spans="1:12" ht="12.75">
      <c r="A202" s="271"/>
      <c r="B202" s="256"/>
      <c r="C202" s="247"/>
      <c r="D202" s="247" t="s">
        <v>512</v>
      </c>
      <c r="E202" s="84"/>
      <c r="F202" s="84"/>
      <c r="G202" s="84"/>
      <c r="H202" s="84"/>
      <c r="I202" s="84"/>
      <c r="J202" s="84"/>
      <c r="K202" s="84"/>
      <c r="L202" s="84"/>
    </row>
    <row r="203" spans="1:12" ht="12.75">
      <c r="A203" s="240" t="s">
        <v>346</v>
      </c>
      <c r="B203" s="242" t="s">
        <v>400</v>
      </c>
      <c r="C203" s="247"/>
      <c r="D203" s="247"/>
      <c r="E203" s="84"/>
      <c r="F203" s="84"/>
      <c r="G203" s="84"/>
      <c r="H203" s="84"/>
      <c r="I203" s="84"/>
      <c r="J203" s="84"/>
      <c r="K203" s="84"/>
      <c r="L203" s="84"/>
    </row>
    <row r="204" spans="1:12" ht="12.75">
      <c r="A204" s="271" t="s">
        <v>348</v>
      </c>
      <c r="B204" s="256" t="s">
        <v>359</v>
      </c>
      <c r="C204" s="247"/>
      <c r="D204" s="247"/>
      <c r="E204" s="84"/>
      <c r="F204" s="84"/>
      <c r="G204" s="84"/>
      <c r="H204" s="84"/>
      <c r="I204" s="84"/>
      <c r="J204" s="84"/>
      <c r="K204" s="84"/>
      <c r="L204" s="84"/>
    </row>
    <row r="205" spans="1:12" ht="12.75">
      <c r="A205" s="271" t="s">
        <v>105</v>
      </c>
      <c r="B205" s="256" t="s">
        <v>354</v>
      </c>
      <c r="C205" s="247"/>
      <c r="D205" s="247"/>
      <c r="E205" s="84"/>
      <c r="F205" s="84"/>
      <c r="G205" s="84"/>
      <c r="H205" s="84"/>
      <c r="I205" s="84"/>
      <c r="J205" s="84"/>
      <c r="K205" s="84"/>
      <c r="L205" s="84"/>
    </row>
    <row r="206" spans="1:12" ht="12.75">
      <c r="A206" s="271" t="s">
        <v>349</v>
      </c>
      <c r="B206" s="256" t="s">
        <v>355</v>
      </c>
      <c r="C206" s="247"/>
      <c r="D206" s="247"/>
      <c r="E206" s="84"/>
      <c r="F206" s="84"/>
      <c r="G206" s="84"/>
      <c r="H206" s="84"/>
      <c r="I206" s="84"/>
      <c r="J206" s="84"/>
      <c r="K206" s="84"/>
      <c r="L206" s="84"/>
    </row>
    <row r="207" spans="1:12" ht="12.75">
      <c r="A207" s="271" t="s">
        <v>350</v>
      </c>
      <c r="B207" s="256" t="s">
        <v>356</v>
      </c>
      <c r="C207" s="247"/>
      <c r="D207" s="247"/>
      <c r="E207" s="84"/>
      <c r="F207" s="84"/>
      <c r="G207" s="84"/>
      <c r="H207" s="84"/>
      <c r="I207" s="84"/>
      <c r="J207" s="84"/>
      <c r="K207" s="84"/>
      <c r="L207" s="84"/>
    </row>
    <row r="208" spans="1:12" ht="12.75">
      <c r="A208" s="271" t="s">
        <v>351</v>
      </c>
      <c r="B208" s="256" t="s">
        <v>514</v>
      </c>
      <c r="C208" s="247"/>
      <c r="D208" s="247"/>
      <c r="E208" s="84"/>
      <c r="F208" s="84"/>
      <c r="G208" s="84"/>
      <c r="H208" s="84"/>
      <c r="I208" s="84"/>
      <c r="J208" s="84"/>
      <c r="K208" s="84"/>
      <c r="L208" s="84"/>
    </row>
    <row r="209" spans="1:12" ht="12.75">
      <c r="A209" s="271" t="s">
        <v>352</v>
      </c>
      <c r="B209" s="256"/>
      <c r="C209" s="247"/>
      <c r="D209" s="247"/>
      <c r="E209" s="84"/>
      <c r="F209" s="84"/>
      <c r="G209" s="84"/>
      <c r="H209" s="84"/>
      <c r="I209" s="84"/>
      <c r="J209" s="84"/>
      <c r="K209" s="84"/>
      <c r="L209" s="84"/>
    </row>
    <row r="210" spans="1:12" ht="12.75">
      <c r="A210" s="271" t="s">
        <v>353</v>
      </c>
      <c r="B210" s="256"/>
      <c r="C210" s="247"/>
      <c r="D210" s="247"/>
      <c r="E210" s="84"/>
      <c r="F210" s="84"/>
      <c r="G210" s="84"/>
      <c r="H210" s="84"/>
      <c r="I210" s="84"/>
      <c r="J210" s="84"/>
      <c r="K210" s="84"/>
      <c r="L210" s="84"/>
    </row>
    <row r="211" spans="1:12" ht="12.75">
      <c r="A211" s="271"/>
      <c r="B211" s="256"/>
      <c r="C211" s="247"/>
      <c r="D211" s="247"/>
      <c r="E211" s="84"/>
      <c r="F211" s="84"/>
      <c r="G211" s="84"/>
      <c r="H211" s="84"/>
      <c r="I211" s="84"/>
      <c r="J211" s="84"/>
      <c r="K211" s="84"/>
      <c r="L211" s="84"/>
    </row>
    <row r="212" spans="1:12" ht="12.75">
      <c r="A212" s="227"/>
      <c r="B212" s="84"/>
      <c r="C212" s="84"/>
      <c r="D212" s="84"/>
      <c r="E212" s="84"/>
      <c r="F212" s="84"/>
      <c r="G212" s="84"/>
      <c r="H212" s="84"/>
      <c r="I212" s="84"/>
      <c r="J212" s="84"/>
      <c r="K212" s="84"/>
      <c r="L212" s="84"/>
    </row>
    <row r="213" spans="1:12" ht="14.25">
      <c r="A213" s="244" t="s">
        <v>307</v>
      </c>
      <c r="B213" s="84"/>
      <c r="C213" s="84"/>
      <c r="D213" s="84"/>
      <c r="E213" s="84"/>
      <c r="F213" s="84"/>
      <c r="G213" s="84"/>
      <c r="H213" s="84"/>
      <c r="I213" s="84"/>
      <c r="J213" s="84"/>
      <c r="K213" s="84"/>
      <c r="L213" s="84"/>
    </row>
    <row r="214" spans="1:12" ht="14.25">
      <c r="A214" s="244"/>
      <c r="B214" s="84"/>
      <c r="C214" s="84"/>
      <c r="D214" s="84"/>
      <c r="E214" s="84"/>
      <c r="F214" s="84"/>
      <c r="G214" s="84"/>
      <c r="H214" s="84"/>
      <c r="I214" s="84"/>
      <c r="J214" s="84"/>
      <c r="K214" s="84"/>
      <c r="L214" s="84"/>
    </row>
    <row r="215" spans="1:12" ht="12.75">
      <c r="A215" s="228" t="s">
        <v>211</v>
      </c>
      <c r="B215" s="242" t="s">
        <v>212</v>
      </c>
      <c r="C215" s="242" t="s">
        <v>283</v>
      </c>
      <c r="D215" s="84"/>
      <c r="E215" s="84"/>
      <c r="F215" s="84"/>
      <c r="G215" s="84"/>
      <c r="H215" s="84"/>
      <c r="I215" s="84"/>
      <c r="J215" s="84"/>
      <c r="K215" s="84"/>
      <c r="L215" s="84"/>
    </row>
    <row r="216" spans="1:12" ht="12.75">
      <c r="A216" s="227" t="s">
        <v>234</v>
      </c>
      <c r="B216" s="238" t="s">
        <v>215</v>
      </c>
      <c r="C216" s="238">
        <v>0.95</v>
      </c>
      <c r="D216" s="84"/>
      <c r="E216" s="84"/>
      <c r="F216" s="84"/>
      <c r="G216" s="84"/>
      <c r="H216" s="84"/>
      <c r="I216" s="84"/>
      <c r="J216" s="84"/>
      <c r="K216" s="84"/>
      <c r="L216" s="84"/>
    </row>
    <row r="217" spans="1:12" ht="12.75">
      <c r="A217" s="227" t="s">
        <v>235</v>
      </c>
      <c r="B217" s="238" t="s">
        <v>216</v>
      </c>
      <c r="C217" s="238">
        <v>0.5</v>
      </c>
      <c r="D217" s="84"/>
      <c r="E217" s="84"/>
      <c r="F217" s="84"/>
      <c r="G217" s="84"/>
      <c r="H217" s="84"/>
      <c r="I217" s="84"/>
      <c r="J217" s="84"/>
      <c r="K217" s="84"/>
      <c r="L217" s="84"/>
    </row>
    <row r="218" spans="1:12" ht="12.75">
      <c r="A218" s="227" t="s">
        <v>236</v>
      </c>
      <c r="B218" s="238" t="s">
        <v>218</v>
      </c>
      <c r="C218" s="238">
        <v>1800</v>
      </c>
      <c r="D218" s="84"/>
      <c r="E218" s="84"/>
      <c r="F218" s="84"/>
      <c r="G218" s="84"/>
      <c r="H218" s="84"/>
      <c r="I218" s="84"/>
      <c r="J218" s="84"/>
      <c r="K218" s="84"/>
      <c r="L218" s="84"/>
    </row>
    <row r="219" spans="1:12" ht="12.75">
      <c r="A219" s="227" t="s">
        <v>511</v>
      </c>
      <c r="B219" s="238" t="s">
        <v>219</v>
      </c>
      <c r="C219" s="238">
        <v>120</v>
      </c>
      <c r="D219" s="84"/>
      <c r="E219" s="84"/>
      <c r="F219" s="84"/>
      <c r="G219" s="84"/>
      <c r="H219" s="84"/>
      <c r="I219" s="84"/>
      <c r="J219" s="84"/>
      <c r="K219" s="84"/>
      <c r="L219" s="84"/>
    </row>
    <row r="220" spans="1:12" ht="12.75">
      <c r="A220" s="227" t="s">
        <v>242</v>
      </c>
      <c r="B220" s="238"/>
      <c r="C220" s="248">
        <v>0.6666666666666666</v>
      </c>
      <c r="D220" s="84"/>
      <c r="E220" s="84"/>
      <c r="F220" s="84"/>
      <c r="G220" s="84"/>
      <c r="H220" s="84"/>
      <c r="I220" s="84"/>
      <c r="J220" s="84"/>
      <c r="K220" s="84"/>
      <c r="L220" s="84"/>
    </row>
    <row r="221" spans="1:12" ht="12.75">
      <c r="A221" s="227" t="s">
        <v>237</v>
      </c>
      <c r="B221" s="238" t="s">
        <v>221</v>
      </c>
      <c r="C221" s="238">
        <v>10000</v>
      </c>
      <c r="D221" s="84"/>
      <c r="E221" s="84"/>
      <c r="F221" s="84"/>
      <c r="G221" s="84"/>
      <c r="H221" s="84"/>
      <c r="I221" s="84"/>
      <c r="J221" s="84"/>
      <c r="K221" s="84"/>
      <c r="L221" s="84"/>
    </row>
    <row r="222" spans="1:12" ht="12.75">
      <c r="A222" s="227" t="s">
        <v>243</v>
      </c>
      <c r="B222" s="238"/>
      <c r="C222" s="238">
        <v>0.25</v>
      </c>
      <c r="D222" s="84"/>
      <c r="E222" s="84"/>
      <c r="F222" s="84"/>
      <c r="G222" s="84"/>
      <c r="H222" s="84"/>
      <c r="I222" s="84"/>
      <c r="J222" s="84"/>
      <c r="K222" s="84"/>
      <c r="L222" s="84"/>
    </row>
    <row r="223" spans="1:12" ht="12.75">
      <c r="A223" s="227" t="s">
        <v>509</v>
      </c>
      <c r="B223" s="238"/>
      <c r="C223" s="238"/>
      <c r="D223" s="84"/>
      <c r="E223" s="84"/>
      <c r="F223" s="84"/>
      <c r="G223" s="84"/>
      <c r="H223" s="84"/>
      <c r="I223" s="84"/>
      <c r="J223" s="84"/>
      <c r="K223" s="84"/>
      <c r="L223" s="84"/>
    </row>
    <row r="224" spans="1:12" ht="12.75">
      <c r="A224" s="227" t="s">
        <v>510</v>
      </c>
      <c r="B224" s="238" t="s">
        <v>223</v>
      </c>
      <c r="C224" s="238">
        <v>210</v>
      </c>
      <c r="D224" s="84"/>
      <c r="E224" s="84"/>
      <c r="F224" s="84"/>
      <c r="G224" s="84"/>
      <c r="H224" s="84"/>
      <c r="I224" s="84"/>
      <c r="J224" s="84"/>
      <c r="K224" s="84"/>
      <c r="L224" s="84"/>
    </row>
    <row r="225" spans="1:12" ht="12.75">
      <c r="A225" s="227" t="s">
        <v>16</v>
      </c>
      <c r="B225" s="238" t="s">
        <v>547</v>
      </c>
      <c r="C225" s="238">
        <v>30</v>
      </c>
      <c r="D225" s="84"/>
      <c r="E225" s="84"/>
      <c r="F225" s="84"/>
      <c r="G225" s="84"/>
      <c r="H225" s="84"/>
      <c r="I225" s="84"/>
      <c r="J225" s="84"/>
      <c r="K225" s="84"/>
      <c r="L225" s="84"/>
    </row>
    <row r="226" spans="1:12" ht="12.75">
      <c r="A226" s="239"/>
      <c r="B226" s="238"/>
      <c r="C226" s="243"/>
      <c r="D226" s="84"/>
      <c r="E226" s="84"/>
      <c r="F226" s="84"/>
      <c r="G226" s="84"/>
      <c r="H226" s="84"/>
      <c r="I226" s="84"/>
      <c r="J226" s="84"/>
      <c r="K226" s="84"/>
      <c r="L226" s="84"/>
    </row>
    <row r="227" spans="1:12" ht="12.75">
      <c r="A227" s="225" t="s">
        <v>296</v>
      </c>
      <c r="B227" s="238"/>
      <c r="C227" s="238"/>
      <c r="D227" s="84"/>
      <c r="E227" s="84"/>
      <c r="F227" s="84"/>
      <c r="G227" s="84"/>
      <c r="H227" s="84"/>
      <c r="I227" s="84"/>
      <c r="J227" s="84"/>
      <c r="K227" s="84"/>
      <c r="L227" s="84"/>
    </row>
    <row r="228" spans="1:12" ht="12.75">
      <c r="A228" s="225" t="s">
        <v>297</v>
      </c>
      <c r="B228" s="238"/>
      <c r="C228" s="249"/>
      <c r="D228" s="84"/>
      <c r="E228" s="84"/>
      <c r="F228" s="84"/>
      <c r="G228" s="84"/>
      <c r="H228" s="84"/>
      <c r="I228" s="84"/>
      <c r="J228" s="84"/>
      <c r="K228" s="84"/>
      <c r="L228" s="84"/>
    </row>
    <row r="229" spans="1:12" ht="12.75">
      <c r="A229" s="227"/>
      <c r="B229" s="238"/>
      <c r="C229" s="238"/>
      <c r="D229" s="84"/>
      <c r="E229" s="84"/>
      <c r="F229" s="84"/>
      <c r="G229" s="84"/>
      <c r="H229" s="84"/>
      <c r="I229" s="84"/>
      <c r="J229" s="84"/>
      <c r="K229" s="84"/>
      <c r="L229" s="84"/>
    </row>
    <row r="230" spans="1:12" ht="12.75">
      <c r="A230" s="225" t="s">
        <v>294</v>
      </c>
      <c r="B230" s="84"/>
      <c r="C230" s="84"/>
      <c r="D230" s="84"/>
      <c r="E230" s="84"/>
      <c r="F230" s="84"/>
      <c r="G230" s="84"/>
      <c r="H230" s="84"/>
      <c r="I230" s="84"/>
      <c r="J230" s="84"/>
      <c r="K230" s="84"/>
      <c r="L230" s="84"/>
    </row>
    <row r="231" spans="1:12" ht="12.75">
      <c r="A231" s="225" t="s">
        <v>295</v>
      </c>
      <c r="B231" s="84"/>
      <c r="C231" s="84"/>
      <c r="D231" s="84"/>
      <c r="E231" s="84"/>
      <c r="F231" s="84"/>
      <c r="G231" s="84"/>
      <c r="H231" s="84"/>
      <c r="I231" s="84"/>
      <c r="J231" s="84"/>
      <c r="K231" s="84"/>
      <c r="L231" s="84"/>
    </row>
    <row r="232" spans="1:12" ht="12.75">
      <c r="A232" s="227"/>
      <c r="B232" s="84"/>
      <c r="C232" s="84"/>
      <c r="D232" s="84"/>
      <c r="E232" s="84"/>
      <c r="F232" s="84"/>
      <c r="G232" s="84"/>
      <c r="H232" s="84"/>
      <c r="I232" s="84"/>
      <c r="J232" s="84"/>
      <c r="K232" s="84"/>
      <c r="L232" s="84"/>
    </row>
    <row r="233" spans="1:12" ht="12.75">
      <c r="A233" s="227"/>
      <c r="B233" s="84"/>
      <c r="C233" s="84"/>
      <c r="D233" s="84"/>
      <c r="E233" s="84"/>
      <c r="F233" s="84"/>
      <c r="G233" s="84"/>
      <c r="H233" s="84"/>
      <c r="I233" s="84"/>
      <c r="J233" s="84"/>
      <c r="K233" s="84"/>
      <c r="L233" s="84"/>
    </row>
    <row r="234" spans="1:12" ht="12.75">
      <c r="A234" s="227"/>
      <c r="B234" s="84"/>
      <c r="C234" s="84"/>
      <c r="D234" s="84"/>
      <c r="E234" s="84"/>
      <c r="F234" s="84"/>
      <c r="G234" s="84"/>
      <c r="H234" s="84"/>
      <c r="I234" s="84"/>
      <c r="J234" s="84"/>
      <c r="K234" s="84"/>
      <c r="L234" s="84"/>
    </row>
    <row r="235" spans="1:12" ht="12.75">
      <c r="A235" s="227"/>
      <c r="B235" s="84"/>
      <c r="C235" s="84"/>
      <c r="D235" s="84"/>
      <c r="E235" s="84"/>
      <c r="F235" s="84"/>
      <c r="G235" s="84"/>
      <c r="H235" s="84"/>
      <c r="I235" s="84"/>
      <c r="J235" s="84"/>
      <c r="K235" s="84"/>
      <c r="L235" s="84"/>
    </row>
    <row r="236" spans="1:12" ht="12.75">
      <c r="A236" s="227"/>
      <c r="B236" s="84"/>
      <c r="C236" s="84"/>
      <c r="D236" s="84"/>
      <c r="E236" s="84"/>
      <c r="F236" s="84"/>
      <c r="G236" s="84"/>
      <c r="H236" s="84"/>
      <c r="I236" s="84"/>
      <c r="J236" s="84"/>
      <c r="K236" s="84"/>
      <c r="L236" s="84"/>
    </row>
    <row r="237" spans="1:12" ht="12.75">
      <c r="A237" s="227"/>
      <c r="B237" s="84"/>
      <c r="C237" s="84"/>
      <c r="D237" s="84"/>
      <c r="E237" s="84"/>
      <c r="F237" s="84"/>
      <c r="G237" s="84"/>
      <c r="H237" s="84"/>
      <c r="I237" s="84"/>
      <c r="J237" s="84"/>
      <c r="K237" s="84"/>
      <c r="L237" s="84"/>
    </row>
    <row r="238" spans="1:12" ht="12.75">
      <c r="A238" s="227"/>
      <c r="B238" s="84"/>
      <c r="C238" s="84"/>
      <c r="D238" s="84"/>
      <c r="E238" s="84"/>
      <c r="F238" s="84"/>
      <c r="G238" s="84"/>
      <c r="H238" s="84"/>
      <c r="I238" s="84"/>
      <c r="J238" s="84"/>
      <c r="K238" s="84"/>
      <c r="L238" s="84"/>
    </row>
    <row r="239" spans="1:12" ht="12.75">
      <c r="A239" s="227"/>
      <c r="B239" s="84"/>
      <c r="C239" s="84"/>
      <c r="D239" s="84"/>
      <c r="E239" s="84"/>
      <c r="F239" s="84"/>
      <c r="G239" s="84"/>
      <c r="H239" s="84"/>
      <c r="I239" s="84"/>
      <c r="J239" s="84"/>
      <c r="K239" s="84"/>
      <c r="L239" s="84"/>
    </row>
    <row r="240" spans="1:12" ht="12.75">
      <c r="A240" s="227"/>
      <c r="B240" s="84"/>
      <c r="C240" s="84"/>
      <c r="D240" s="84"/>
      <c r="E240" s="84"/>
      <c r="F240" s="84"/>
      <c r="G240" s="84"/>
      <c r="H240" s="84"/>
      <c r="I240" s="84"/>
      <c r="J240" s="84"/>
      <c r="K240" s="84"/>
      <c r="L240" s="84"/>
    </row>
    <row r="241" spans="1:12" ht="12.75">
      <c r="A241" s="227"/>
      <c r="B241" s="84"/>
      <c r="C241" s="84"/>
      <c r="D241" s="84"/>
      <c r="E241" s="84"/>
      <c r="F241" s="84"/>
      <c r="G241" s="84"/>
      <c r="H241" s="84"/>
      <c r="I241" s="84"/>
      <c r="J241" s="84"/>
      <c r="K241" s="84"/>
      <c r="L241" s="84"/>
    </row>
    <row r="242" spans="1:12" ht="12.75">
      <c r="A242" s="227"/>
      <c r="B242" s="84"/>
      <c r="C242" s="84"/>
      <c r="D242" s="84"/>
      <c r="E242" s="84"/>
      <c r="F242" s="84"/>
      <c r="G242" s="84"/>
      <c r="H242" s="84"/>
      <c r="I242" s="84"/>
      <c r="J242" s="84"/>
      <c r="K242" s="84"/>
      <c r="L242" s="84"/>
    </row>
    <row r="243" spans="1:12" ht="12.75">
      <c r="A243" s="227"/>
      <c r="B243" s="84"/>
      <c r="C243" s="84"/>
      <c r="D243" s="84"/>
      <c r="E243" s="84"/>
      <c r="F243" s="84"/>
      <c r="G243" s="84"/>
      <c r="H243" s="84"/>
      <c r="I243" s="84"/>
      <c r="J243" s="84"/>
      <c r="K243" s="84"/>
      <c r="L243" s="84"/>
    </row>
    <row r="244" spans="1:12" ht="12.75">
      <c r="A244" s="227"/>
      <c r="B244" s="84"/>
      <c r="C244" s="84"/>
      <c r="D244" s="84"/>
      <c r="E244" s="84"/>
      <c r="F244" s="84"/>
      <c r="G244" s="84"/>
      <c r="H244" s="84"/>
      <c r="I244" s="84"/>
      <c r="J244" s="84"/>
      <c r="K244" s="84"/>
      <c r="L244" s="84"/>
    </row>
    <row r="245" spans="1:12" ht="12.75">
      <c r="A245" s="227"/>
      <c r="B245" s="84"/>
      <c r="C245" s="84"/>
      <c r="D245" s="84"/>
      <c r="E245" s="84"/>
      <c r="F245" s="84"/>
      <c r="G245" s="84"/>
      <c r="H245" s="84"/>
      <c r="I245" s="84"/>
      <c r="J245" s="84"/>
      <c r="K245" s="84"/>
      <c r="L245" s="84"/>
    </row>
    <row r="246" spans="1:12" ht="12.75">
      <c r="A246" s="227"/>
      <c r="B246" s="84"/>
      <c r="C246" s="84"/>
      <c r="D246" s="84"/>
      <c r="E246" s="84"/>
      <c r="F246" s="84"/>
      <c r="G246" s="84"/>
      <c r="H246" s="84"/>
      <c r="I246" s="84"/>
      <c r="J246" s="84"/>
      <c r="K246" s="84"/>
      <c r="L246" s="84"/>
    </row>
    <row r="247" spans="1:12" ht="12.75">
      <c r="A247" s="227"/>
      <c r="B247" s="84"/>
      <c r="C247" s="84"/>
      <c r="D247" s="84"/>
      <c r="E247" s="84"/>
      <c r="F247" s="84"/>
      <c r="G247" s="84"/>
      <c r="H247" s="84"/>
      <c r="I247" s="84"/>
      <c r="J247" s="84"/>
      <c r="K247" s="84"/>
      <c r="L247" s="84"/>
    </row>
    <row r="248" spans="1:12" ht="12.75">
      <c r="A248" s="227"/>
      <c r="B248" s="84"/>
      <c r="C248" s="84"/>
      <c r="D248" s="84"/>
      <c r="E248" s="84"/>
      <c r="F248" s="84"/>
      <c r="G248" s="84"/>
      <c r="H248" s="84"/>
      <c r="I248" s="84"/>
      <c r="J248" s="84"/>
      <c r="K248" s="84"/>
      <c r="L248" s="84"/>
    </row>
    <row r="249" spans="1:12" ht="12.75">
      <c r="A249" s="227"/>
      <c r="B249" s="84"/>
      <c r="C249" s="84"/>
      <c r="D249" s="84"/>
      <c r="E249" s="84"/>
      <c r="F249" s="84"/>
      <c r="G249" s="84"/>
      <c r="H249" s="84"/>
      <c r="I249" s="84"/>
      <c r="J249" s="84"/>
      <c r="K249" s="84"/>
      <c r="L249" s="84"/>
    </row>
    <row r="250" spans="1:12" ht="12.75">
      <c r="A250" s="227"/>
      <c r="B250" s="84"/>
      <c r="C250" s="84"/>
      <c r="D250" s="84"/>
      <c r="E250" s="84"/>
      <c r="F250" s="84"/>
      <c r="G250" s="84"/>
      <c r="H250" s="84"/>
      <c r="I250" s="84"/>
      <c r="J250" s="84"/>
      <c r="K250" s="84"/>
      <c r="L250" s="84"/>
    </row>
    <row r="251" spans="1:12" ht="12.75">
      <c r="A251" s="227"/>
      <c r="B251" s="84"/>
      <c r="C251" s="84"/>
      <c r="D251" s="84"/>
      <c r="E251" s="84"/>
      <c r="F251" s="84"/>
      <c r="G251" s="84"/>
      <c r="H251" s="84"/>
      <c r="I251" s="84"/>
      <c r="J251" s="84"/>
      <c r="K251" s="84"/>
      <c r="L251" s="84"/>
    </row>
    <row r="252" spans="1:12" ht="12.75">
      <c r="A252" s="227"/>
      <c r="B252" s="84"/>
      <c r="C252" s="84"/>
      <c r="D252" s="84"/>
      <c r="E252" s="84"/>
      <c r="F252" s="84"/>
      <c r="G252" s="84"/>
      <c r="H252" s="84"/>
      <c r="I252" s="84"/>
      <c r="J252" s="84"/>
      <c r="K252" s="84"/>
      <c r="L252" s="84"/>
    </row>
    <row r="253" spans="1:12" ht="12.75">
      <c r="A253" s="227"/>
      <c r="B253" s="84"/>
      <c r="C253" s="84"/>
      <c r="D253" s="84"/>
      <c r="E253" s="84"/>
      <c r="F253" s="84"/>
      <c r="G253" s="84"/>
      <c r="H253" s="84"/>
      <c r="I253" s="84"/>
      <c r="J253" s="84"/>
      <c r="K253" s="84"/>
      <c r="L253" s="84"/>
    </row>
    <row r="254" spans="1:12" ht="15.75">
      <c r="A254" s="229" t="s">
        <v>313</v>
      </c>
      <c r="B254" s="84"/>
      <c r="C254" s="84"/>
      <c r="D254" s="84"/>
      <c r="E254" s="84"/>
      <c r="F254" s="84"/>
      <c r="G254" s="84"/>
      <c r="H254" s="84"/>
      <c r="I254" s="84"/>
      <c r="J254" s="84"/>
      <c r="K254" s="84"/>
      <c r="L254" s="84"/>
    </row>
    <row r="255" spans="1:12" ht="12.75">
      <c r="A255" s="227"/>
      <c r="B255" s="84"/>
      <c r="C255" s="84"/>
      <c r="D255" s="84"/>
      <c r="E255" s="84"/>
      <c r="F255" s="84"/>
      <c r="G255" s="84"/>
      <c r="H255" s="84"/>
      <c r="I255" s="84"/>
      <c r="J255" s="84"/>
      <c r="K255" s="84"/>
      <c r="L255" s="84"/>
    </row>
    <row r="256" spans="1:12" ht="15.75">
      <c r="A256" s="431" t="s">
        <v>518</v>
      </c>
      <c r="B256" s="84"/>
      <c r="C256" s="84"/>
      <c r="D256" s="84"/>
      <c r="E256" s="84"/>
      <c r="F256" s="84"/>
      <c r="G256" s="84"/>
      <c r="H256" s="84"/>
      <c r="I256" s="84"/>
      <c r="J256" s="84"/>
      <c r="K256" s="84"/>
      <c r="L256" s="84"/>
    </row>
    <row r="257" spans="1:12" ht="12.75">
      <c r="A257" s="274"/>
      <c r="B257" s="84"/>
      <c r="C257" s="84"/>
      <c r="D257" s="84"/>
      <c r="E257" s="84"/>
      <c r="F257" s="84"/>
      <c r="G257" s="84"/>
      <c r="H257" s="84"/>
      <c r="I257" s="84"/>
      <c r="J257" s="84"/>
      <c r="K257" s="87"/>
      <c r="L257" s="87"/>
    </row>
    <row r="258" spans="1:12" ht="12.75">
      <c r="A258" s="274" t="s">
        <v>519</v>
      </c>
      <c r="B258" s="84"/>
      <c r="C258" s="84"/>
      <c r="D258" s="84"/>
      <c r="E258" s="84"/>
      <c r="F258" s="84"/>
      <c r="G258" s="84"/>
      <c r="H258" s="84"/>
      <c r="I258" s="84"/>
      <c r="J258" s="84"/>
      <c r="K258" s="84"/>
      <c r="L258" s="84"/>
    </row>
    <row r="259" spans="1:12" ht="12.75">
      <c r="A259" s="227"/>
      <c r="B259" s="227"/>
      <c r="C259" s="227"/>
      <c r="D259" s="227"/>
      <c r="E259" s="227"/>
      <c r="F259" s="227"/>
      <c r="G259" s="227"/>
      <c r="H259" s="227"/>
      <c r="I259" s="227"/>
      <c r="J259" s="227"/>
      <c r="K259" s="84"/>
      <c r="L259" s="84"/>
    </row>
    <row r="260" spans="1:12" ht="14.25">
      <c r="A260" s="227" t="s">
        <v>529</v>
      </c>
      <c r="B260" s="227"/>
      <c r="C260" s="227"/>
      <c r="D260" s="227"/>
      <c r="E260" s="227"/>
      <c r="F260" s="227"/>
      <c r="G260" s="227"/>
      <c r="H260" s="227"/>
      <c r="I260" s="227"/>
      <c r="J260" s="227"/>
      <c r="K260" s="84"/>
      <c r="L260" s="84"/>
    </row>
    <row r="261" spans="1:12" ht="12.75">
      <c r="A261" s="227" t="s">
        <v>530</v>
      </c>
      <c r="B261" s="227"/>
      <c r="C261" s="227"/>
      <c r="D261" s="227"/>
      <c r="E261" s="227"/>
      <c r="F261" s="227"/>
      <c r="G261" s="227"/>
      <c r="H261" s="227"/>
      <c r="I261" s="227"/>
      <c r="J261" s="227"/>
      <c r="K261" s="84"/>
      <c r="L261" s="84"/>
    </row>
    <row r="262" spans="1:12" ht="12.75">
      <c r="A262" s="227"/>
      <c r="B262" s="227"/>
      <c r="C262" s="227"/>
      <c r="D262" s="227"/>
      <c r="E262" s="227"/>
      <c r="F262" s="227"/>
      <c r="G262" s="227"/>
      <c r="H262" s="227"/>
      <c r="I262" s="227"/>
      <c r="J262" s="227"/>
      <c r="K262" s="84"/>
      <c r="L262" s="84"/>
    </row>
    <row r="263" spans="1:12" ht="12.75">
      <c r="A263" s="238"/>
      <c r="B263" s="227"/>
      <c r="C263" s="227"/>
      <c r="D263" s="227"/>
      <c r="E263" s="227"/>
      <c r="F263" s="227"/>
      <c r="G263" s="227"/>
      <c r="H263" s="227"/>
      <c r="I263" s="227"/>
      <c r="J263" s="227"/>
      <c r="K263" s="84"/>
      <c r="L263" s="84"/>
    </row>
    <row r="264" spans="1:12" ht="12.75">
      <c r="A264" s="227"/>
      <c r="B264" s="227"/>
      <c r="C264" s="227"/>
      <c r="D264" s="227"/>
      <c r="E264" s="227"/>
      <c r="F264" s="227"/>
      <c r="G264" s="227"/>
      <c r="H264" s="227"/>
      <c r="I264" s="227"/>
      <c r="J264" s="227"/>
      <c r="K264" s="84"/>
      <c r="L264" s="84"/>
    </row>
    <row r="265" spans="1:12" ht="12.75">
      <c r="A265" s="227"/>
      <c r="B265" s="227"/>
      <c r="C265" s="227"/>
      <c r="D265" s="227"/>
      <c r="E265" s="227"/>
      <c r="F265" s="227"/>
      <c r="G265" s="227"/>
      <c r="H265" s="227"/>
      <c r="I265" s="227"/>
      <c r="J265" s="227"/>
      <c r="K265" s="84"/>
      <c r="L265" s="84"/>
    </row>
    <row r="266" spans="1:12" ht="12.75">
      <c r="A266" s="227"/>
      <c r="B266" s="227"/>
      <c r="C266" s="227"/>
      <c r="D266" s="227"/>
      <c r="E266" s="227"/>
      <c r="F266" s="227"/>
      <c r="G266" s="227"/>
      <c r="H266" s="227"/>
      <c r="I266" s="227"/>
      <c r="J266" s="227"/>
      <c r="K266" s="84"/>
      <c r="L266" s="84"/>
    </row>
    <row r="267" spans="1:12" ht="12.75">
      <c r="A267" s="227" t="s">
        <v>534</v>
      </c>
      <c r="B267" s="227"/>
      <c r="C267" s="227"/>
      <c r="D267" s="227"/>
      <c r="E267" s="227"/>
      <c r="F267" s="227"/>
      <c r="G267" s="227"/>
      <c r="H267" s="227"/>
      <c r="I267" s="227"/>
      <c r="J267" s="227"/>
      <c r="K267" s="84"/>
      <c r="L267" s="84"/>
    </row>
    <row r="268" spans="1:12" ht="12.75">
      <c r="A268" s="227" t="s">
        <v>531</v>
      </c>
      <c r="B268" s="227"/>
      <c r="C268" s="227"/>
      <c r="D268" s="227"/>
      <c r="E268" s="227"/>
      <c r="F268" s="227"/>
      <c r="G268" s="227"/>
      <c r="H268" s="227"/>
      <c r="I268" s="227"/>
      <c r="J268" s="227"/>
      <c r="K268" s="84"/>
      <c r="L268" s="84"/>
    </row>
    <row r="269" spans="1:12" ht="12.75">
      <c r="A269" s="227" t="s">
        <v>532</v>
      </c>
      <c r="B269" s="227"/>
      <c r="C269" s="227"/>
      <c r="D269" s="227"/>
      <c r="E269" s="227"/>
      <c r="F269" s="227"/>
      <c r="G269" s="227"/>
      <c r="H269" s="227"/>
      <c r="I269" s="227"/>
      <c r="J269" s="227"/>
      <c r="K269" s="87"/>
      <c r="L269" s="87"/>
    </row>
    <row r="270" spans="1:12" ht="12.75">
      <c r="A270" s="227" t="s">
        <v>533</v>
      </c>
      <c r="B270" s="227"/>
      <c r="C270" s="227"/>
      <c r="D270" s="227"/>
      <c r="E270" s="227"/>
      <c r="F270" s="227"/>
      <c r="G270" s="227"/>
      <c r="H270" s="227"/>
      <c r="I270" s="227"/>
      <c r="J270" s="227"/>
      <c r="K270" s="87"/>
      <c r="L270" s="87"/>
    </row>
    <row r="271" spans="1:12" ht="12.75">
      <c r="A271" s="227"/>
      <c r="B271" s="227"/>
      <c r="C271" s="227"/>
      <c r="D271" s="227"/>
      <c r="E271" s="227"/>
      <c r="F271" s="227"/>
      <c r="G271" s="227"/>
      <c r="H271" s="227"/>
      <c r="I271" s="227"/>
      <c r="J271" s="227"/>
      <c r="K271" s="87"/>
      <c r="L271" s="87"/>
    </row>
    <row r="272" spans="1:12" ht="12.75">
      <c r="A272" s="227"/>
      <c r="B272" s="227"/>
      <c r="C272" s="227"/>
      <c r="D272" s="227"/>
      <c r="E272" s="227"/>
      <c r="F272" s="227"/>
      <c r="G272" s="227"/>
      <c r="H272" s="227"/>
      <c r="I272" s="227"/>
      <c r="J272" s="227"/>
      <c r="K272" s="87"/>
      <c r="L272" s="87"/>
    </row>
    <row r="273" spans="1:12" ht="12.75">
      <c r="A273" s="227" t="s">
        <v>607</v>
      </c>
      <c r="B273" s="227"/>
      <c r="C273" s="227"/>
      <c r="D273" s="227"/>
      <c r="E273" s="227"/>
      <c r="F273" s="227"/>
      <c r="G273" s="227"/>
      <c r="H273" s="227"/>
      <c r="I273" s="227"/>
      <c r="J273" s="227"/>
      <c r="K273" s="87"/>
      <c r="L273" s="87"/>
    </row>
    <row r="274" spans="1:12" ht="12.75">
      <c r="A274" s="227" t="s">
        <v>608</v>
      </c>
      <c r="B274" s="227"/>
      <c r="C274" s="227"/>
      <c r="D274" s="227"/>
      <c r="E274" s="227"/>
      <c r="F274" s="227"/>
      <c r="G274" s="227"/>
      <c r="H274" s="227"/>
      <c r="I274" s="227"/>
      <c r="J274" s="227"/>
      <c r="K274" s="84"/>
      <c r="L274" s="84"/>
    </row>
    <row r="275" spans="1:12" ht="12.75">
      <c r="A275" s="227"/>
      <c r="B275" s="227"/>
      <c r="C275" s="227"/>
      <c r="D275" s="227"/>
      <c r="E275" s="227"/>
      <c r="F275" s="227"/>
      <c r="G275" s="227"/>
      <c r="H275" s="227"/>
      <c r="I275" s="227"/>
      <c r="J275" s="227"/>
      <c r="K275" s="84"/>
      <c r="L275" s="84"/>
    </row>
    <row r="276" spans="1:12" s="258" customFormat="1" ht="12.75">
      <c r="A276" s="274" t="s">
        <v>520</v>
      </c>
      <c r="B276" s="227"/>
      <c r="C276" s="227"/>
      <c r="D276" s="227"/>
      <c r="E276" s="227"/>
      <c r="F276" s="227"/>
      <c r="G276" s="227"/>
      <c r="H276" s="227"/>
      <c r="I276" s="227"/>
      <c r="J276" s="227"/>
      <c r="K276" s="84"/>
      <c r="L276" s="84"/>
    </row>
    <row r="277" spans="1:12" s="258" customFormat="1" ht="12.75">
      <c r="A277" s="274"/>
      <c r="B277" s="227"/>
      <c r="C277" s="227"/>
      <c r="D277" s="227"/>
      <c r="E277" s="227"/>
      <c r="F277" s="227"/>
      <c r="G277" s="227"/>
      <c r="H277" s="227"/>
      <c r="I277" s="227"/>
      <c r="J277" s="227"/>
      <c r="K277" s="84"/>
      <c r="L277" s="84"/>
    </row>
    <row r="278" spans="1:12" s="258" customFormat="1" ht="12.75">
      <c r="A278" s="227" t="s">
        <v>535</v>
      </c>
      <c r="B278" s="227"/>
      <c r="C278" s="227"/>
      <c r="D278" s="227"/>
      <c r="E278" s="227"/>
      <c r="F278" s="227"/>
      <c r="G278" s="227"/>
      <c r="H278" s="227"/>
      <c r="I278" s="227"/>
      <c r="J278" s="227"/>
      <c r="K278" s="84"/>
      <c r="L278" s="84"/>
    </row>
    <row r="279" spans="1:12" ht="12.75">
      <c r="A279" s="227" t="s">
        <v>536</v>
      </c>
      <c r="B279" s="84"/>
      <c r="C279" s="84"/>
      <c r="D279" s="84"/>
      <c r="E279" s="84"/>
      <c r="F279" s="84"/>
      <c r="G279" s="84"/>
      <c r="H279" s="227"/>
      <c r="I279" s="227"/>
      <c r="J279" s="227"/>
      <c r="K279" s="84"/>
      <c r="L279" s="84"/>
    </row>
    <row r="280" spans="1:12" s="258" customFormat="1" ht="12.75">
      <c r="A280" s="257"/>
      <c r="B280" s="257"/>
      <c r="C280" s="257"/>
      <c r="D280" s="257"/>
      <c r="E280" s="257"/>
      <c r="F280" s="257"/>
      <c r="G280" s="257"/>
      <c r="H280" s="227"/>
      <c r="I280" s="227"/>
      <c r="J280" s="227"/>
      <c r="K280" s="84"/>
      <c r="L280" s="84"/>
    </row>
    <row r="281" spans="1:12" s="258" customFormat="1" ht="12.75">
      <c r="A281" s="257"/>
      <c r="B281" s="257"/>
      <c r="C281" s="257"/>
      <c r="D281" s="257"/>
      <c r="E281" s="257"/>
      <c r="F281" s="257"/>
      <c r="G281" s="257"/>
      <c r="H281" s="227"/>
      <c r="I281" s="227"/>
      <c r="J281" s="227"/>
      <c r="K281" s="257"/>
      <c r="L281" s="257"/>
    </row>
    <row r="282" spans="1:12" ht="12.75">
      <c r="A282" s="84"/>
      <c r="B282" s="84"/>
      <c r="C282" s="84"/>
      <c r="D282" s="84"/>
      <c r="E282" s="84"/>
      <c r="F282" s="84"/>
      <c r="G282" s="84"/>
      <c r="H282" s="227"/>
      <c r="I282" s="227"/>
      <c r="J282" s="227"/>
      <c r="K282" s="257"/>
      <c r="L282" s="257"/>
    </row>
    <row r="283" spans="1:12" ht="12.75">
      <c r="A283" s="84"/>
      <c r="B283" s="84"/>
      <c r="C283" s="84"/>
      <c r="D283" s="84"/>
      <c r="E283" s="84"/>
      <c r="F283" s="84"/>
      <c r="G283" s="84"/>
      <c r="H283" s="227"/>
      <c r="I283" s="227"/>
      <c r="J283" s="227"/>
      <c r="K283" s="257"/>
      <c r="L283" s="257"/>
    </row>
    <row r="284" spans="1:12" ht="12.75">
      <c r="A284" s="84"/>
      <c r="B284" s="84"/>
      <c r="C284" s="84"/>
      <c r="D284" s="84"/>
      <c r="E284" s="84"/>
      <c r="F284" s="84"/>
      <c r="G284" s="84"/>
      <c r="H284" s="227"/>
      <c r="I284" s="227"/>
      <c r="J284" s="227"/>
      <c r="K284" s="87"/>
      <c r="L284" s="87"/>
    </row>
    <row r="285" spans="1:12" ht="12.75">
      <c r="A285" s="84"/>
      <c r="B285" s="84"/>
      <c r="C285" s="84"/>
      <c r="D285" s="84"/>
      <c r="E285" s="84"/>
      <c r="F285" s="84"/>
      <c r="G285" s="84"/>
      <c r="H285" s="227"/>
      <c r="I285" s="227"/>
      <c r="J285" s="227"/>
      <c r="K285" s="257"/>
      <c r="L285" s="257"/>
    </row>
    <row r="286" spans="1:12" ht="14.25">
      <c r="A286" s="227" t="s">
        <v>521</v>
      </c>
      <c r="B286" s="84"/>
      <c r="C286" s="84"/>
      <c r="D286" s="84"/>
      <c r="E286" s="84"/>
      <c r="F286" s="84"/>
      <c r="G286" s="84"/>
      <c r="H286" s="227"/>
      <c r="I286" s="227"/>
      <c r="J286" s="227"/>
      <c r="K286" s="257"/>
      <c r="L286" s="257"/>
    </row>
    <row r="287" spans="1:12" ht="12.75">
      <c r="A287" s="227"/>
      <c r="B287" s="227"/>
      <c r="C287" s="227"/>
      <c r="D287" s="227"/>
      <c r="E287" s="227"/>
      <c r="F287" s="227"/>
      <c r="G287" s="227"/>
      <c r="H287" s="227"/>
      <c r="I287" s="227"/>
      <c r="J287" s="227"/>
      <c r="K287" s="84"/>
      <c r="L287" s="84"/>
    </row>
    <row r="288" spans="1:12" ht="12.75">
      <c r="A288" s="274" t="s">
        <v>522</v>
      </c>
      <c r="B288" s="227"/>
      <c r="C288" s="227"/>
      <c r="D288" s="227"/>
      <c r="E288" s="227"/>
      <c r="F288" s="227"/>
      <c r="G288" s="227"/>
      <c r="H288" s="227"/>
      <c r="I288" s="227"/>
      <c r="J288" s="227"/>
      <c r="K288" s="87"/>
      <c r="L288" s="87"/>
    </row>
    <row r="289" spans="1:12" ht="12.75">
      <c r="A289" s="238"/>
      <c r="B289" s="227"/>
      <c r="C289" s="227"/>
      <c r="D289" s="227"/>
      <c r="E289" s="227"/>
      <c r="F289" s="227"/>
      <c r="G289" s="227"/>
      <c r="H289" s="227"/>
      <c r="I289" s="227"/>
      <c r="J289" s="227"/>
      <c r="K289" s="87"/>
      <c r="L289" s="87"/>
    </row>
    <row r="290" spans="1:12" ht="12.75">
      <c r="A290" s="227" t="s">
        <v>537</v>
      </c>
      <c r="B290" s="227"/>
      <c r="C290" s="227"/>
      <c r="D290" s="227"/>
      <c r="E290" s="227"/>
      <c r="F290" s="227"/>
      <c r="G290" s="227"/>
      <c r="H290" s="227"/>
      <c r="I290" s="227"/>
      <c r="J290" s="227"/>
      <c r="K290" s="87"/>
      <c r="L290" s="87"/>
    </row>
    <row r="291" spans="1:12" ht="12.75">
      <c r="A291" s="227" t="s">
        <v>17</v>
      </c>
      <c r="B291" s="227"/>
      <c r="C291" s="227"/>
      <c r="D291" s="227"/>
      <c r="E291" s="227"/>
      <c r="F291" s="227"/>
      <c r="G291" s="227"/>
      <c r="H291" s="227"/>
      <c r="I291" s="227"/>
      <c r="J291" s="227"/>
      <c r="K291" s="87"/>
      <c r="L291" s="87"/>
    </row>
    <row r="292" spans="1:12" ht="12.75">
      <c r="A292" s="227" t="s">
        <v>18</v>
      </c>
      <c r="B292" s="227"/>
      <c r="C292" s="227"/>
      <c r="D292" s="227"/>
      <c r="E292" s="227"/>
      <c r="F292" s="227"/>
      <c r="G292" s="227"/>
      <c r="H292" s="227"/>
      <c r="I292" s="227"/>
      <c r="J292" s="227"/>
      <c r="K292" s="87"/>
      <c r="L292" s="87"/>
    </row>
    <row r="293" spans="1:12" ht="12.75">
      <c r="A293" s="227" t="s">
        <v>19</v>
      </c>
      <c r="B293" s="227"/>
      <c r="C293" s="227"/>
      <c r="D293" s="227"/>
      <c r="E293" s="227"/>
      <c r="F293" s="227"/>
      <c r="G293" s="227"/>
      <c r="H293" s="227"/>
      <c r="I293" s="227"/>
      <c r="J293" s="227"/>
      <c r="K293" s="87"/>
      <c r="L293" s="87"/>
    </row>
    <row r="294" spans="1:12" ht="12.75">
      <c r="A294" s="227" t="s">
        <v>20</v>
      </c>
      <c r="B294" s="227"/>
      <c r="C294" s="227"/>
      <c r="D294" s="227"/>
      <c r="E294" s="227"/>
      <c r="F294" s="227"/>
      <c r="G294" s="227"/>
      <c r="H294" s="227"/>
      <c r="I294" s="227"/>
      <c r="J294" s="227"/>
      <c r="K294" s="87"/>
      <c r="L294" s="87"/>
    </row>
    <row r="295" spans="1:12" ht="12.75">
      <c r="A295" s="227" t="s">
        <v>605</v>
      </c>
      <c r="B295" s="227"/>
      <c r="C295" s="227"/>
      <c r="D295" s="227"/>
      <c r="E295" s="227"/>
      <c r="F295" s="227"/>
      <c r="G295" s="227"/>
      <c r="H295" s="227"/>
      <c r="I295" s="227"/>
      <c r="J295" s="227"/>
      <c r="K295" s="87"/>
      <c r="L295" s="87"/>
    </row>
    <row r="296" spans="1:12" ht="12.75">
      <c r="A296" s="227" t="s">
        <v>606</v>
      </c>
      <c r="B296" s="227"/>
      <c r="C296" s="227"/>
      <c r="D296" s="227"/>
      <c r="E296" s="227"/>
      <c r="F296" s="227"/>
      <c r="G296" s="84"/>
      <c r="H296" s="227"/>
      <c r="I296" s="227"/>
      <c r="J296" s="227"/>
      <c r="K296" s="87"/>
      <c r="L296" s="87"/>
    </row>
    <row r="297" spans="1:12" ht="12.75">
      <c r="A297" s="227"/>
      <c r="B297" s="227"/>
      <c r="C297" s="227"/>
      <c r="D297" s="227"/>
      <c r="E297" s="227"/>
      <c r="F297" s="227"/>
      <c r="G297" s="84"/>
      <c r="H297" s="227"/>
      <c r="I297" s="227"/>
      <c r="J297" s="227"/>
      <c r="K297" s="87"/>
      <c r="L297" s="87"/>
    </row>
    <row r="298" spans="1:12" ht="12.75">
      <c r="A298" s="227" t="s">
        <v>523</v>
      </c>
      <c r="B298" s="84"/>
      <c r="C298" s="84"/>
      <c r="D298" s="84"/>
      <c r="E298" s="84"/>
      <c r="F298" s="84"/>
      <c r="G298" s="84"/>
      <c r="H298" s="227"/>
      <c r="I298" s="227"/>
      <c r="J298" s="227"/>
      <c r="K298" s="87"/>
      <c r="L298" s="87"/>
    </row>
    <row r="299" spans="1:12" ht="12.75">
      <c r="A299" s="84"/>
      <c r="B299" s="84"/>
      <c r="C299" s="84"/>
      <c r="D299" s="84"/>
      <c r="E299" s="84"/>
      <c r="F299" s="84"/>
      <c r="G299" s="84"/>
      <c r="H299" s="227"/>
      <c r="I299" s="227"/>
      <c r="J299" s="227"/>
      <c r="K299" s="87"/>
      <c r="L299" s="87"/>
    </row>
    <row r="300" spans="1:12" ht="12.75">
      <c r="A300" s="84"/>
      <c r="B300" s="84"/>
      <c r="C300" s="84"/>
      <c r="D300" s="84"/>
      <c r="E300" s="84"/>
      <c r="F300" s="84"/>
      <c r="G300" s="84"/>
      <c r="H300" s="227"/>
      <c r="I300" s="227"/>
      <c r="J300" s="227"/>
      <c r="K300" s="87"/>
      <c r="L300" s="87"/>
    </row>
    <row r="301" spans="1:12" ht="12.75">
      <c r="A301" s="84"/>
      <c r="B301" s="84"/>
      <c r="C301" s="84"/>
      <c r="D301" s="84"/>
      <c r="E301" s="84"/>
      <c r="F301" s="84"/>
      <c r="G301" s="84"/>
      <c r="H301" s="227"/>
      <c r="I301" s="227"/>
      <c r="J301" s="227"/>
      <c r="K301" s="87"/>
      <c r="L301" s="87"/>
    </row>
    <row r="302" spans="2:12" ht="12.75">
      <c r="B302" s="84"/>
      <c r="C302" s="84"/>
      <c r="D302" s="84"/>
      <c r="E302" s="84"/>
      <c r="F302" s="84"/>
      <c r="G302" s="84"/>
      <c r="H302" s="227"/>
      <c r="I302" s="227"/>
      <c r="J302" s="227"/>
      <c r="K302" s="87"/>
      <c r="L302" s="87"/>
    </row>
    <row r="303" spans="1:12" ht="12.75">
      <c r="A303" s="227" t="s">
        <v>21</v>
      </c>
      <c r="B303" s="227"/>
      <c r="C303" s="84"/>
      <c r="D303" s="84"/>
      <c r="E303" s="84"/>
      <c r="F303" s="84"/>
      <c r="G303" s="84"/>
      <c r="H303" s="227"/>
      <c r="I303" s="227"/>
      <c r="J303" s="227"/>
      <c r="K303" s="87"/>
      <c r="L303" s="87"/>
    </row>
    <row r="304" spans="1:12" ht="12.75">
      <c r="A304" s="227" t="s">
        <v>22</v>
      </c>
      <c r="B304" s="227"/>
      <c r="C304" s="84"/>
      <c r="D304" s="84"/>
      <c r="E304" s="84"/>
      <c r="F304" s="84"/>
      <c r="G304" s="84"/>
      <c r="H304" s="227"/>
      <c r="I304" s="227"/>
      <c r="J304" s="227"/>
      <c r="K304" s="87"/>
      <c r="L304" s="87"/>
    </row>
    <row r="305" spans="1:12" ht="12.75">
      <c r="A305" s="227" t="s">
        <v>23</v>
      </c>
      <c r="B305" s="227"/>
      <c r="C305" s="84"/>
      <c r="D305" s="84"/>
      <c r="E305" s="84"/>
      <c r="F305" s="84"/>
      <c r="G305" s="84"/>
      <c r="H305" s="227"/>
      <c r="I305" s="227"/>
      <c r="J305" s="227"/>
      <c r="K305" s="87"/>
      <c r="L305" s="87"/>
    </row>
    <row r="306" spans="1:12" ht="12.75">
      <c r="A306" s="227" t="s">
        <v>24</v>
      </c>
      <c r="B306" s="227"/>
      <c r="C306" s="84"/>
      <c r="D306" s="84"/>
      <c r="E306" s="84"/>
      <c r="F306" s="84"/>
      <c r="G306" s="84"/>
      <c r="H306" s="227"/>
      <c r="I306" s="227"/>
      <c r="J306" s="227"/>
      <c r="K306" s="87"/>
      <c r="L306" s="87"/>
    </row>
    <row r="307" spans="1:12" ht="12.75">
      <c r="A307" s="227" t="s">
        <v>25</v>
      </c>
      <c r="B307" s="227"/>
      <c r="C307" s="84"/>
      <c r="D307" s="84"/>
      <c r="E307" s="84"/>
      <c r="F307" s="84"/>
      <c r="G307" s="84"/>
      <c r="H307" s="227"/>
      <c r="I307" s="227"/>
      <c r="J307" s="227"/>
      <c r="K307" s="87"/>
      <c r="L307" s="87"/>
    </row>
    <row r="308" spans="1:12" ht="12.75">
      <c r="A308" s="227" t="s">
        <v>539</v>
      </c>
      <c r="B308" s="227"/>
      <c r="C308" s="84"/>
      <c r="D308" s="84"/>
      <c r="E308" s="84"/>
      <c r="F308" s="84"/>
      <c r="G308" s="84"/>
      <c r="H308" s="227"/>
      <c r="I308" s="227"/>
      <c r="J308" s="227"/>
      <c r="K308" s="87"/>
      <c r="L308" s="87"/>
    </row>
    <row r="309" spans="1:12" ht="12.75">
      <c r="A309" s="227" t="s">
        <v>540</v>
      </c>
      <c r="B309" s="227"/>
      <c r="C309" s="84"/>
      <c r="D309" s="84"/>
      <c r="E309" s="84"/>
      <c r="F309" s="84"/>
      <c r="G309" s="84"/>
      <c r="H309" s="227"/>
      <c r="I309" s="227"/>
      <c r="J309" s="227"/>
      <c r="K309" s="87"/>
      <c r="L309" s="87"/>
    </row>
    <row r="310" spans="1:12" ht="12.75">
      <c r="A310" s="227"/>
      <c r="B310" s="227"/>
      <c r="C310" s="84"/>
      <c r="D310" s="84"/>
      <c r="E310" s="84"/>
      <c r="F310" s="84"/>
      <c r="G310" s="84"/>
      <c r="H310" s="227"/>
      <c r="I310" s="227"/>
      <c r="J310" s="227"/>
      <c r="K310" s="87"/>
      <c r="L310" s="87"/>
    </row>
    <row r="311" spans="1:12" ht="12.75">
      <c r="A311" s="227" t="s">
        <v>538</v>
      </c>
      <c r="B311" s="227"/>
      <c r="C311" s="227"/>
      <c r="D311" s="227"/>
      <c r="E311" s="227"/>
      <c r="F311" s="227"/>
      <c r="G311" s="227"/>
      <c r="H311" s="227"/>
      <c r="I311" s="227"/>
      <c r="J311" s="227"/>
      <c r="K311" s="87"/>
      <c r="L311" s="87"/>
    </row>
    <row r="312" spans="1:12" ht="12.75">
      <c r="A312" s="227"/>
      <c r="B312" s="227"/>
      <c r="C312" s="227"/>
      <c r="D312" s="227"/>
      <c r="E312" s="227"/>
      <c r="F312" s="227"/>
      <c r="G312" s="227"/>
      <c r="H312" s="227"/>
      <c r="I312" s="227"/>
      <c r="J312" s="227"/>
      <c r="K312" s="87"/>
      <c r="L312" s="87"/>
    </row>
    <row r="313" spans="1:12" ht="12.75">
      <c r="A313" s="227"/>
      <c r="B313" s="227"/>
      <c r="C313" s="227"/>
      <c r="D313" s="227"/>
      <c r="E313" s="227"/>
      <c r="F313" s="227"/>
      <c r="G313" s="227"/>
      <c r="H313" s="227"/>
      <c r="I313" s="227"/>
      <c r="J313" s="227"/>
      <c r="K313" s="87"/>
      <c r="L313" s="87"/>
    </row>
    <row r="314" spans="1:12" ht="12.75">
      <c r="A314" s="227"/>
      <c r="B314" s="227"/>
      <c r="C314" s="227"/>
      <c r="D314" s="227"/>
      <c r="E314" s="227"/>
      <c r="F314" s="227"/>
      <c r="G314" s="227"/>
      <c r="H314" s="227"/>
      <c r="I314" s="227"/>
      <c r="J314" s="227"/>
      <c r="K314" s="87"/>
      <c r="L314" s="87"/>
    </row>
    <row r="315" spans="1:12" ht="12.75">
      <c r="A315" s="227"/>
      <c r="B315" s="227"/>
      <c r="C315" s="227"/>
      <c r="D315" s="227"/>
      <c r="E315" s="227"/>
      <c r="F315" s="227"/>
      <c r="G315" s="227"/>
      <c r="H315" s="227"/>
      <c r="I315" s="227"/>
      <c r="J315" s="227"/>
      <c r="K315" s="87"/>
      <c r="L315" s="87"/>
    </row>
    <row r="316" spans="1:12" ht="12.75">
      <c r="A316" s="227" t="s">
        <v>26</v>
      </c>
      <c r="B316" s="227"/>
      <c r="C316" s="227"/>
      <c r="D316" s="227"/>
      <c r="E316" s="227"/>
      <c r="F316" s="227"/>
      <c r="G316" s="227"/>
      <c r="H316" s="227"/>
      <c r="I316" s="227"/>
      <c r="J316" s="227"/>
      <c r="K316" s="87"/>
      <c r="L316" s="87"/>
    </row>
    <row r="317" spans="1:12" ht="12.75">
      <c r="A317" s="227" t="s">
        <v>27</v>
      </c>
      <c r="B317" s="227"/>
      <c r="C317" s="227"/>
      <c r="D317" s="227"/>
      <c r="E317" s="227"/>
      <c r="F317" s="227"/>
      <c r="G317" s="227"/>
      <c r="H317" s="227"/>
      <c r="I317" s="227"/>
      <c r="J317" s="227"/>
      <c r="K317" s="87"/>
      <c r="L317" s="87"/>
    </row>
    <row r="318" spans="1:12" ht="12.75">
      <c r="A318" s="227" t="s">
        <v>29</v>
      </c>
      <c r="B318" s="227"/>
      <c r="C318" s="227"/>
      <c r="D318" s="227"/>
      <c r="E318" s="227"/>
      <c r="F318" s="227"/>
      <c r="G318" s="227"/>
      <c r="H318" s="227"/>
      <c r="I318" s="227"/>
      <c r="J318" s="227"/>
      <c r="K318" s="87"/>
      <c r="L318" s="87"/>
    </row>
    <row r="319" spans="1:12" ht="12.75">
      <c r="A319" s="227" t="s">
        <v>28</v>
      </c>
      <c r="B319" s="227"/>
      <c r="C319" s="227"/>
      <c r="D319" s="227"/>
      <c r="E319" s="227"/>
      <c r="F319" s="227"/>
      <c r="G319" s="227"/>
      <c r="H319" s="227"/>
      <c r="I319" s="227"/>
      <c r="J319" s="227"/>
      <c r="K319" s="87"/>
      <c r="L319" s="87"/>
    </row>
    <row r="320" spans="1:12" ht="12.75">
      <c r="A320" s="227"/>
      <c r="B320" s="227"/>
      <c r="C320" s="227"/>
      <c r="D320" s="227"/>
      <c r="E320" s="227"/>
      <c r="F320" s="227"/>
      <c r="G320" s="227"/>
      <c r="H320" s="227"/>
      <c r="I320" s="227"/>
      <c r="J320" s="227"/>
      <c r="K320" s="87"/>
      <c r="L320" s="87"/>
    </row>
    <row r="321" spans="1:12" ht="12.75">
      <c r="A321" s="274" t="s">
        <v>524</v>
      </c>
      <c r="B321" s="227"/>
      <c r="C321" s="227"/>
      <c r="D321" s="227"/>
      <c r="E321" s="227"/>
      <c r="F321" s="227"/>
      <c r="G321" s="227"/>
      <c r="H321" s="227"/>
      <c r="I321" s="227"/>
      <c r="J321" s="227"/>
      <c r="K321" s="87"/>
      <c r="L321" s="87"/>
    </row>
    <row r="322" spans="1:12" ht="12.75">
      <c r="A322" s="227"/>
      <c r="B322" s="227"/>
      <c r="C322" s="227"/>
      <c r="D322" s="227"/>
      <c r="E322" s="227"/>
      <c r="F322" s="227"/>
      <c r="G322" s="227"/>
      <c r="H322" s="227"/>
      <c r="I322" s="227"/>
      <c r="J322" s="227"/>
      <c r="K322" s="87"/>
      <c r="L322" s="87"/>
    </row>
    <row r="323" spans="1:12" ht="12.75">
      <c r="A323" s="227" t="s">
        <v>525</v>
      </c>
      <c r="B323" s="227"/>
      <c r="C323" s="227"/>
      <c r="D323" s="227"/>
      <c r="E323" s="227"/>
      <c r="F323" s="227"/>
      <c r="G323" s="227"/>
      <c r="H323" s="227"/>
      <c r="I323" s="227"/>
      <c r="J323" s="227"/>
      <c r="K323" s="87"/>
      <c r="L323" s="87"/>
    </row>
    <row r="324" spans="1:12" ht="12.75">
      <c r="A324" s="227"/>
      <c r="B324" s="227"/>
      <c r="C324" s="227"/>
      <c r="D324" s="227"/>
      <c r="E324" s="227"/>
      <c r="F324" s="227"/>
      <c r="G324" s="227"/>
      <c r="H324" s="227"/>
      <c r="I324" s="227"/>
      <c r="J324" s="227"/>
      <c r="K324" s="87"/>
      <c r="L324" s="87"/>
    </row>
    <row r="325" spans="1:12" ht="12.75">
      <c r="A325" s="84"/>
      <c r="B325" s="227"/>
      <c r="C325" s="227"/>
      <c r="D325" s="227"/>
      <c r="E325" s="227"/>
      <c r="F325" s="227"/>
      <c r="G325" s="227"/>
      <c r="H325" s="227"/>
      <c r="I325" s="227"/>
      <c r="J325" s="227"/>
      <c r="K325" s="87"/>
      <c r="L325" s="87"/>
    </row>
    <row r="326" spans="1:12" ht="12.75">
      <c r="A326" s="227"/>
      <c r="B326" s="227"/>
      <c r="C326" s="227"/>
      <c r="D326" s="227"/>
      <c r="E326" s="227"/>
      <c r="F326" s="227"/>
      <c r="G326" s="227"/>
      <c r="H326" s="227"/>
      <c r="I326" s="227"/>
      <c r="J326" s="227"/>
      <c r="K326" s="87"/>
      <c r="L326" s="87"/>
    </row>
    <row r="327" spans="1:13" ht="12.75">
      <c r="A327" s="227"/>
      <c r="B327" s="227"/>
      <c r="C327" s="227"/>
      <c r="D327" s="227"/>
      <c r="E327" s="227"/>
      <c r="F327" s="227"/>
      <c r="G327" s="227"/>
      <c r="H327" s="227"/>
      <c r="I327" s="227"/>
      <c r="J327" s="227"/>
      <c r="K327" s="87"/>
      <c r="L327" s="87"/>
      <c r="M327" s="7"/>
    </row>
    <row r="328" spans="1:13" ht="12.75">
      <c r="A328" s="227" t="s">
        <v>30</v>
      </c>
      <c r="B328" s="227"/>
      <c r="C328" s="227"/>
      <c r="D328" s="227"/>
      <c r="E328" s="227"/>
      <c r="F328" s="227"/>
      <c r="G328" s="227"/>
      <c r="H328" s="227"/>
      <c r="I328" s="227"/>
      <c r="J328" s="227"/>
      <c r="K328" s="87"/>
      <c r="L328" s="87"/>
      <c r="M328" s="7"/>
    </row>
    <row r="329" spans="1:12" ht="12.75">
      <c r="A329" s="227" t="s">
        <v>31</v>
      </c>
      <c r="B329" s="227"/>
      <c r="C329" s="227"/>
      <c r="D329" s="227"/>
      <c r="E329" s="227"/>
      <c r="F329" s="227"/>
      <c r="G329" s="227"/>
      <c r="H329" s="227"/>
      <c r="I329" s="227"/>
      <c r="J329" s="227"/>
      <c r="K329" s="87"/>
      <c r="L329" s="87"/>
    </row>
    <row r="330" spans="1:12" ht="12.75">
      <c r="A330" s="227" t="s">
        <v>32</v>
      </c>
      <c r="B330" s="227"/>
      <c r="C330" s="227"/>
      <c r="D330" s="227"/>
      <c r="E330" s="227"/>
      <c r="F330" s="227"/>
      <c r="G330" s="227"/>
      <c r="H330" s="227"/>
      <c r="I330" s="227"/>
      <c r="J330" s="227"/>
      <c r="K330" s="87"/>
      <c r="L330" s="87"/>
    </row>
    <row r="331" spans="1:12" ht="12.75">
      <c r="A331" s="227"/>
      <c r="B331" s="227"/>
      <c r="C331" s="227"/>
      <c r="D331" s="227"/>
      <c r="E331" s="227"/>
      <c r="F331" s="227"/>
      <c r="G331" s="227"/>
      <c r="H331" s="227"/>
      <c r="I331" s="227"/>
      <c r="J331" s="227"/>
      <c r="K331" s="87"/>
      <c r="L331" s="87"/>
    </row>
    <row r="332" spans="1:12" ht="12.75">
      <c r="A332" s="227"/>
      <c r="B332" s="227"/>
      <c r="C332" s="227"/>
      <c r="D332" s="227"/>
      <c r="E332" s="227"/>
      <c r="F332" s="227"/>
      <c r="G332" s="227"/>
      <c r="H332" s="227"/>
      <c r="I332" s="227"/>
      <c r="J332" s="227"/>
      <c r="K332" s="84"/>
      <c r="L332" s="84"/>
    </row>
    <row r="333" spans="1:12" ht="12.75">
      <c r="A333" s="227"/>
      <c r="B333" s="227"/>
      <c r="C333" s="227"/>
      <c r="D333" s="227"/>
      <c r="E333" s="227"/>
      <c r="F333" s="227"/>
      <c r="G333" s="227"/>
      <c r="H333" s="227"/>
      <c r="I333" s="227"/>
      <c r="J333" s="227"/>
      <c r="K333" s="84"/>
      <c r="L333" s="84"/>
    </row>
    <row r="334" spans="1:12" ht="12.75">
      <c r="A334" s="84"/>
      <c r="B334" s="227"/>
      <c r="C334" s="227"/>
      <c r="D334" s="227"/>
      <c r="E334" s="227"/>
      <c r="F334" s="227"/>
      <c r="G334" s="227"/>
      <c r="H334" s="227"/>
      <c r="I334" s="227"/>
      <c r="J334" s="227"/>
      <c r="K334" s="87"/>
      <c r="L334" s="87"/>
    </row>
    <row r="335" spans="1:12" ht="12.75">
      <c r="A335" s="227"/>
      <c r="B335" s="227"/>
      <c r="C335" s="227"/>
      <c r="D335" s="227"/>
      <c r="E335" s="227"/>
      <c r="F335" s="227"/>
      <c r="G335" s="227"/>
      <c r="H335" s="227"/>
      <c r="I335" s="227"/>
      <c r="J335" s="227"/>
      <c r="K335" s="87"/>
      <c r="L335" s="87"/>
    </row>
    <row r="336" spans="1:12" ht="12.75">
      <c r="A336" s="84"/>
      <c r="B336" s="84"/>
      <c r="C336" s="84"/>
      <c r="D336" s="84"/>
      <c r="E336" s="84"/>
      <c r="F336" s="84"/>
      <c r="G336" s="227"/>
      <c r="H336" s="227"/>
      <c r="I336" s="227"/>
      <c r="J336" s="227"/>
      <c r="K336" s="87"/>
      <c r="L336" s="87"/>
    </row>
    <row r="337" spans="1:12" ht="12.75">
      <c r="A337" s="227" t="s">
        <v>526</v>
      </c>
      <c r="B337" s="84"/>
      <c r="C337" s="84"/>
      <c r="D337" s="84"/>
      <c r="E337" s="84"/>
      <c r="F337" s="84"/>
      <c r="G337" s="227"/>
      <c r="H337" s="227"/>
      <c r="I337" s="227"/>
      <c r="J337" s="227"/>
      <c r="K337" s="87"/>
      <c r="L337" s="87"/>
    </row>
    <row r="338" spans="1:12" ht="12.75">
      <c r="A338" s="84"/>
      <c r="B338" s="84"/>
      <c r="C338" s="84"/>
      <c r="D338" s="84"/>
      <c r="E338" s="84"/>
      <c r="F338" s="84"/>
      <c r="G338" s="227"/>
      <c r="H338" s="227"/>
      <c r="I338" s="227"/>
      <c r="J338" s="227"/>
      <c r="K338" s="87"/>
      <c r="L338" s="87"/>
    </row>
    <row r="339" spans="1:12" ht="12.75">
      <c r="A339" s="227" t="s">
        <v>527</v>
      </c>
      <c r="B339" s="84"/>
      <c r="C339" s="84"/>
      <c r="D339" s="84"/>
      <c r="E339" s="84"/>
      <c r="F339" s="84"/>
      <c r="G339" s="227"/>
      <c r="H339" s="227"/>
      <c r="I339" s="227"/>
      <c r="J339" s="227"/>
      <c r="K339" s="87"/>
      <c r="L339" s="87"/>
    </row>
    <row r="340" spans="1:12" ht="12.75">
      <c r="A340" s="84"/>
      <c r="B340" s="84"/>
      <c r="C340" s="84"/>
      <c r="D340" s="84"/>
      <c r="E340" s="84"/>
      <c r="F340" s="84"/>
      <c r="G340" s="227"/>
      <c r="H340" s="227"/>
      <c r="I340" s="227"/>
      <c r="J340" s="227"/>
      <c r="K340" s="87"/>
      <c r="L340" s="87"/>
    </row>
    <row r="341" spans="1:12" ht="12.75">
      <c r="A341" s="84"/>
      <c r="B341" s="84"/>
      <c r="C341" s="84"/>
      <c r="D341" s="84"/>
      <c r="E341" s="84"/>
      <c r="F341" s="84"/>
      <c r="G341" s="227"/>
      <c r="H341" s="227"/>
      <c r="I341" s="227"/>
      <c r="J341" s="227"/>
      <c r="K341" s="87"/>
      <c r="L341" s="87"/>
    </row>
    <row r="342" spans="1:12" ht="12.75">
      <c r="A342" s="84"/>
      <c r="B342" s="227"/>
      <c r="C342" s="227"/>
      <c r="D342" s="227"/>
      <c r="E342" s="227"/>
      <c r="F342" s="227"/>
      <c r="G342" s="227"/>
      <c r="H342" s="227"/>
      <c r="I342" s="227"/>
      <c r="J342" s="227"/>
      <c r="K342" s="87"/>
      <c r="L342" s="87"/>
    </row>
    <row r="343" spans="1:12" ht="12.75">
      <c r="A343" s="84"/>
      <c r="B343" s="227"/>
      <c r="C343" s="227"/>
      <c r="D343" s="227"/>
      <c r="E343" s="227"/>
      <c r="F343" s="227"/>
      <c r="G343" s="227"/>
      <c r="H343" s="227"/>
      <c r="I343" s="227"/>
      <c r="J343" s="227"/>
      <c r="K343" s="87"/>
      <c r="L343" s="87"/>
    </row>
    <row r="344" spans="1:12" ht="12.75">
      <c r="A344" s="227"/>
      <c r="B344" s="227"/>
      <c r="C344" s="227"/>
      <c r="D344" s="227"/>
      <c r="E344" s="227"/>
      <c r="F344" s="227"/>
      <c r="G344" s="227"/>
      <c r="H344" s="227"/>
      <c r="I344" s="227"/>
      <c r="J344" s="227"/>
      <c r="K344" s="87"/>
      <c r="L344" s="87"/>
    </row>
    <row r="345" spans="1:12" ht="12.75">
      <c r="A345" s="227"/>
      <c r="B345" s="227"/>
      <c r="C345" s="227"/>
      <c r="D345" s="227"/>
      <c r="E345" s="227"/>
      <c r="F345" s="227"/>
      <c r="G345" s="227"/>
      <c r="H345" s="227"/>
      <c r="I345" s="227"/>
      <c r="J345" s="227"/>
      <c r="K345" s="87"/>
      <c r="L345" s="87"/>
    </row>
    <row r="346" spans="1:12" ht="12.75">
      <c r="A346" s="227"/>
      <c r="B346" s="227"/>
      <c r="C346" s="227"/>
      <c r="D346" s="227"/>
      <c r="E346" s="227"/>
      <c r="F346" s="227"/>
      <c r="G346" s="227"/>
      <c r="H346" s="227"/>
      <c r="I346" s="227"/>
      <c r="J346" s="227"/>
      <c r="K346" s="87"/>
      <c r="L346" s="87"/>
    </row>
    <row r="347" spans="1:12" ht="12.75">
      <c r="A347" s="84"/>
      <c r="B347" s="84"/>
      <c r="C347" s="84"/>
      <c r="D347" s="84"/>
      <c r="E347" s="84"/>
      <c r="F347" s="84"/>
      <c r="G347" s="84"/>
      <c r="H347" s="227"/>
      <c r="I347" s="227"/>
      <c r="J347" s="227"/>
      <c r="K347" s="87"/>
      <c r="L347" s="87"/>
    </row>
    <row r="348" spans="1:12" ht="12.75">
      <c r="A348" s="84"/>
      <c r="B348" s="84"/>
      <c r="C348" s="84"/>
      <c r="D348" s="84"/>
      <c r="E348" s="84"/>
      <c r="F348" s="84"/>
      <c r="G348" s="84"/>
      <c r="H348" s="227"/>
      <c r="I348" s="227"/>
      <c r="J348" s="227"/>
      <c r="K348" s="87"/>
      <c r="L348" s="87"/>
    </row>
    <row r="349" spans="1:12" ht="12.75">
      <c r="A349" s="84"/>
      <c r="B349" s="84"/>
      <c r="C349" s="84"/>
      <c r="D349" s="84"/>
      <c r="E349" s="84"/>
      <c r="F349" s="84"/>
      <c r="G349" s="84"/>
      <c r="H349" s="227"/>
      <c r="I349" s="227"/>
      <c r="J349" s="227"/>
      <c r="K349" s="87"/>
      <c r="L349" s="87"/>
    </row>
    <row r="350" spans="1:12" ht="12.75">
      <c r="A350" s="274" t="s">
        <v>528</v>
      </c>
      <c r="B350" s="227"/>
      <c r="C350" s="227"/>
      <c r="D350" s="227"/>
      <c r="E350" s="227"/>
      <c r="F350" s="227"/>
      <c r="G350" s="227"/>
      <c r="H350" s="227"/>
      <c r="I350" s="227"/>
      <c r="J350" s="227"/>
      <c r="K350" s="87"/>
      <c r="L350" s="87"/>
    </row>
    <row r="351" spans="1:12" ht="12.75">
      <c r="A351" s="274"/>
      <c r="B351" s="227"/>
      <c r="C351" s="227"/>
      <c r="D351" s="227"/>
      <c r="E351" s="227"/>
      <c r="F351" s="227"/>
      <c r="G351" s="227"/>
      <c r="H351" s="227"/>
      <c r="I351" s="227"/>
      <c r="J351" s="227"/>
      <c r="K351" s="87"/>
      <c r="L351" s="87"/>
    </row>
    <row r="352" spans="1:12" ht="12.75">
      <c r="A352" s="227" t="s">
        <v>33</v>
      </c>
      <c r="B352" s="227"/>
      <c r="C352" s="227"/>
      <c r="D352" s="227"/>
      <c r="E352" s="227"/>
      <c r="F352" s="227"/>
      <c r="G352" s="227"/>
      <c r="H352" s="227"/>
      <c r="I352" s="227"/>
      <c r="J352" s="227"/>
      <c r="K352" s="87"/>
      <c r="L352" s="87"/>
    </row>
    <row r="353" spans="1:12" ht="12.75">
      <c r="A353" s="227" t="s">
        <v>34</v>
      </c>
      <c r="B353" s="227"/>
      <c r="C353" s="227"/>
      <c r="D353" s="227"/>
      <c r="E353" s="227"/>
      <c r="F353" s="227"/>
      <c r="G353" s="227"/>
      <c r="H353" s="227"/>
      <c r="I353" s="227"/>
      <c r="J353" s="227"/>
      <c r="K353" s="87"/>
      <c r="L353" s="87"/>
    </row>
    <row r="354" spans="1:12" ht="12.75">
      <c r="A354" s="227" t="s">
        <v>35</v>
      </c>
      <c r="B354" s="227"/>
      <c r="C354" s="227"/>
      <c r="D354" s="227"/>
      <c r="E354" s="227"/>
      <c r="F354" s="227"/>
      <c r="G354" s="227"/>
      <c r="H354" s="227"/>
      <c r="I354" s="227"/>
      <c r="J354" s="227"/>
      <c r="K354" s="87"/>
      <c r="L354" s="87"/>
    </row>
    <row r="355" spans="1:12" ht="12.75">
      <c r="A355" s="227" t="s">
        <v>593</v>
      </c>
      <c r="B355" s="227"/>
      <c r="C355" s="227"/>
      <c r="D355" s="227"/>
      <c r="E355" s="227"/>
      <c r="F355" s="227"/>
      <c r="G355" s="227"/>
      <c r="H355" s="227"/>
      <c r="I355" s="227"/>
      <c r="J355" s="227"/>
      <c r="K355" s="87"/>
      <c r="L355" s="87"/>
    </row>
    <row r="356" spans="1:12" ht="12.75">
      <c r="A356" s="87"/>
      <c r="B356" s="87"/>
      <c r="C356" s="227"/>
      <c r="D356" s="227"/>
      <c r="F356" s="227"/>
      <c r="G356" s="227"/>
      <c r="H356" s="227"/>
      <c r="I356" s="227"/>
      <c r="J356" s="227"/>
      <c r="K356" s="87"/>
      <c r="L356" s="87"/>
    </row>
    <row r="357" spans="1:12" ht="12.75">
      <c r="A357" s="227" t="s">
        <v>592</v>
      </c>
      <c r="B357" s="87"/>
      <c r="C357" s="227"/>
      <c r="D357" s="227"/>
      <c r="F357" s="227"/>
      <c r="G357" s="227"/>
      <c r="H357" s="227"/>
      <c r="I357" s="227"/>
      <c r="J357" s="227"/>
      <c r="K357" s="87"/>
      <c r="L357" s="87"/>
    </row>
    <row r="358" spans="1:12" ht="12.75">
      <c r="A358" s="87"/>
      <c r="B358" s="87"/>
      <c r="C358" s="227"/>
      <c r="D358" s="227"/>
      <c r="E358" s="227"/>
      <c r="F358" s="227"/>
      <c r="G358" s="227"/>
      <c r="H358" s="227"/>
      <c r="I358" s="227"/>
      <c r="J358" s="227"/>
      <c r="K358" s="87"/>
      <c r="L358" s="87"/>
    </row>
    <row r="359" spans="2:12" ht="12.75">
      <c r="B359" s="87"/>
      <c r="C359" s="227"/>
      <c r="D359" s="227"/>
      <c r="E359" s="227"/>
      <c r="F359" s="227"/>
      <c r="G359" s="227"/>
      <c r="H359" s="227"/>
      <c r="I359" s="227"/>
      <c r="J359" s="227"/>
      <c r="K359" s="87"/>
      <c r="L359" s="87"/>
    </row>
    <row r="360" spans="1:12" ht="12.75">
      <c r="A360" s="87"/>
      <c r="B360" s="87"/>
      <c r="C360" s="227"/>
      <c r="D360" s="227"/>
      <c r="E360" s="227"/>
      <c r="F360" s="227"/>
      <c r="G360" s="227"/>
      <c r="H360" s="227"/>
      <c r="I360" s="227"/>
      <c r="J360" s="227"/>
      <c r="K360" s="87"/>
      <c r="L360" s="87"/>
    </row>
    <row r="361" spans="1:12" ht="12.75">
      <c r="A361" s="227" t="s">
        <v>594</v>
      </c>
      <c r="B361" s="87"/>
      <c r="C361" s="227"/>
      <c r="D361" s="227"/>
      <c r="E361" s="227"/>
      <c r="F361" s="227"/>
      <c r="G361" s="227"/>
      <c r="H361" s="227"/>
      <c r="I361" s="227"/>
      <c r="J361" s="227"/>
      <c r="K361" s="87"/>
      <c r="L361" s="87"/>
    </row>
    <row r="362" spans="1:12" ht="12.75">
      <c r="A362" s="87"/>
      <c r="B362" s="227"/>
      <c r="C362" s="227"/>
      <c r="D362" s="227"/>
      <c r="E362" s="227"/>
      <c r="F362" s="227"/>
      <c r="G362" s="227"/>
      <c r="H362" s="227"/>
      <c r="I362" s="227"/>
      <c r="J362" s="227"/>
      <c r="K362" s="87"/>
      <c r="L362" s="87"/>
    </row>
    <row r="363" spans="1:12" ht="12.75">
      <c r="A363" s="87"/>
      <c r="B363" s="227"/>
      <c r="C363" s="227"/>
      <c r="D363" s="227"/>
      <c r="E363" s="227"/>
      <c r="F363" s="227"/>
      <c r="G363" s="227"/>
      <c r="H363" s="227"/>
      <c r="I363" s="227"/>
      <c r="J363" s="227"/>
      <c r="K363" s="87"/>
      <c r="L363" s="87"/>
    </row>
    <row r="364" spans="1:12" ht="12.75">
      <c r="A364" s="87"/>
      <c r="B364" s="87"/>
      <c r="C364" s="227"/>
      <c r="D364" s="227"/>
      <c r="E364" s="227"/>
      <c r="F364" s="227"/>
      <c r="G364" s="227"/>
      <c r="H364" s="227"/>
      <c r="I364" s="227"/>
      <c r="J364" s="227"/>
      <c r="K364" s="87"/>
      <c r="L364" s="87"/>
    </row>
    <row r="365" spans="1:12" ht="12.75">
      <c r="A365" s="87"/>
      <c r="B365" s="87"/>
      <c r="C365" s="227"/>
      <c r="D365" s="227"/>
      <c r="E365" s="227"/>
      <c r="F365" s="227"/>
      <c r="G365" s="227"/>
      <c r="H365" s="227"/>
      <c r="I365" s="227"/>
      <c r="J365" s="227"/>
      <c r="K365" s="87"/>
      <c r="L365" s="87"/>
    </row>
    <row r="366" spans="1:12" ht="12.75">
      <c r="A366" s="227" t="s">
        <v>587</v>
      </c>
      <c r="B366" s="87"/>
      <c r="C366" s="227"/>
      <c r="D366" s="227"/>
      <c r="E366" s="227"/>
      <c r="F366" s="227"/>
      <c r="G366" s="227"/>
      <c r="H366" s="227"/>
      <c r="I366" s="227"/>
      <c r="J366" s="227"/>
      <c r="K366" s="87"/>
      <c r="L366" s="87"/>
    </row>
    <row r="367" spans="1:12" ht="12.75">
      <c r="A367" s="87"/>
      <c r="B367" s="227"/>
      <c r="C367" s="227"/>
      <c r="D367" s="227"/>
      <c r="E367" s="227"/>
      <c r="F367" s="227"/>
      <c r="G367" s="227"/>
      <c r="H367" s="227"/>
      <c r="I367" s="227"/>
      <c r="J367" s="227"/>
      <c r="K367" s="87"/>
      <c r="L367" s="87"/>
    </row>
    <row r="368" spans="1:12" ht="12.75">
      <c r="A368" s="87"/>
      <c r="B368" s="227"/>
      <c r="C368" s="227"/>
      <c r="D368" s="227"/>
      <c r="E368" s="227"/>
      <c r="F368" s="227"/>
      <c r="G368" s="227"/>
      <c r="H368" s="227"/>
      <c r="I368" s="227"/>
      <c r="J368" s="227"/>
      <c r="K368" s="87"/>
      <c r="L368" s="87"/>
    </row>
    <row r="369" spans="1:12" ht="12.75">
      <c r="A369" s="87"/>
      <c r="B369" s="227"/>
      <c r="C369" s="227"/>
      <c r="D369" s="227"/>
      <c r="E369" s="227"/>
      <c r="F369" s="227"/>
      <c r="G369" s="227"/>
      <c r="H369" s="227"/>
      <c r="I369" s="227"/>
      <c r="J369" s="227"/>
      <c r="K369" s="87"/>
      <c r="L369" s="87"/>
    </row>
    <row r="370" spans="1:12" ht="12.75">
      <c r="A370" s="87"/>
      <c r="B370" s="227"/>
      <c r="C370" s="227"/>
      <c r="D370" s="227"/>
      <c r="E370" s="227"/>
      <c r="F370" s="227"/>
      <c r="G370" s="227"/>
      <c r="H370" s="227"/>
      <c r="I370" s="227"/>
      <c r="J370" s="227"/>
      <c r="K370" s="87"/>
      <c r="L370" s="87"/>
    </row>
    <row r="371" spans="1:12" ht="12.75">
      <c r="A371" s="87"/>
      <c r="B371" s="87"/>
      <c r="C371" s="227"/>
      <c r="D371" s="227"/>
      <c r="E371" s="227"/>
      <c r="F371" s="227"/>
      <c r="G371" s="227"/>
      <c r="H371" s="227"/>
      <c r="I371" s="227"/>
      <c r="J371" s="227"/>
      <c r="K371" s="87"/>
      <c r="L371" s="87"/>
    </row>
    <row r="372" spans="1:12" ht="12.75">
      <c r="A372" s="227" t="s">
        <v>586</v>
      </c>
      <c r="B372" s="87"/>
      <c r="C372" s="227"/>
      <c r="D372" s="227"/>
      <c r="E372" s="227"/>
      <c r="F372" s="227"/>
      <c r="G372" s="227"/>
      <c r="H372" s="227"/>
      <c r="I372" s="227"/>
      <c r="J372" s="227"/>
      <c r="K372" s="87"/>
      <c r="L372" s="87"/>
    </row>
    <row r="373" spans="1:12" ht="12.75">
      <c r="A373" s="87"/>
      <c r="B373" s="227"/>
      <c r="C373" s="227"/>
      <c r="D373" s="227"/>
      <c r="E373" s="227"/>
      <c r="F373" s="227"/>
      <c r="G373" s="227"/>
      <c r="H373" s="227"/>
      <c r="I373" s="227"/>
      <c r="J373" s="227"/>
      <c r="K373" s="87"/>
      <c r="L373" s="87"/>
    </row>
    <row r="374" spans="1:12" ht="12.75">
      <c r="A374" s="87"/>
      <c r="B374" s="227"/>
      <c r="C374" s="227"/>
      <c r="D374" s="227"/>
      <c r="E374" s="227"/>
      <c r="F374" s="227"/>
      <c r="G374" s="227"/>
      <c r="H374" s="227"/>
      <c r="I374" s="227"/>
      <c r="J374" s="227"/>
      <c r="K374" s="87"/>
      <c r="L374" s="87"/>
    </row>
    <row r="375" spans="1:12" ht="12.75">
      <c r="A375" s="87"/>
      <c r="B375" s="227"/>
      <c r="C375" s="227"/>
      <c r="D375" s="227"/>
      <c r="E375" s="227"/>
      <c r="F375" s="227"/>
      <c r="G375" s="227"/>
      <c r="H375" s="227"/>
      <c r="I375" s="227"/>
      <c r="J375" s="227"/>
      <c r="K375" s="87"/>
      <c r="L375" s="87"/>
    </row>
    <row r="376" spans="1:12" ht="12.75">
      <c r="A376" s="227" t="s">
        <v>587</v>
      </c>
      <c r="B376" s="227"/>
      <c r="C376" s="227"/>
      <c r="D376" s="227"/>
      <c r="E376" s="227"/>
      <c r="F376" s="227"/>
      <c r="G376" s="227"/>
      <c r="H376" s="227"/>
      <c r="I376" s="227"/>
      <c r="J376" s="227"/>
      <c r="K376" s="87"/>
      <c r="L376" s="87"/>
    </row>
    <row r="377" spans="1:12" ht="12.75">
      <c r="A377" s="87"/>
      <c r="B377" s="227"/>
      <c r="C377" s="227"/>
      <c r="D377" s="227"/>
      <c r="E377" s="227"/>
      <c r="F377" s="227"/>
      <c r="G377" s="227"/>
      <c r="H377" s="227"/>
      <c r="I377" s="227"/>
      <c r="J377" s="227"/>
      <c r="K377" s="87"/>
      <c r="L377" s="87"/>
    </row>
    <row r="378" spans="1:12" ht="12.75">
      <c r="A378" s="227"/>
      <c r="B378" s="227"/>
      <c r="C378" s="225"/>
      <c r="D378" s="225"/>
      <c r="E378" s="225"/>
      <c r="F378" s="225"/>
      <c r="G378" s="225"/>
      <c r="H378" s="225"/>
      <c r="I378" s="225"/>
      <c r="J378" s="225"/>
      <c r="K378" s="87"/>
      <c r="L378" s="87"/>
    </row>
    <row r="379" spans="1:12" ht="12.75">
      <c r="A379" s="87"/>
      <c r="B379" s="227"/>
      <c r="C379" s="225"/>
      <c r="D379" s="225"/>
      <c r="E379" s="225"/>
      <c r="F379" s="225"/>
      <c r="G379" s="225"/>
      <c r="H379" s="225"/>
      <c r="I379" s="225"/>
      <c r="J379" s="225"/>
      <c r="K379" s="87"/>
      <c r="L379" s="87"/>
    </row>
    <row r="380" spans="1:12" ht="12.75">
      <c r="A380" s="87"/>
      <c r="B380" s="227"/>
      <c r="C380" s="225"/>
      <c r="D380" s="225"/>
      <c r="E380" s="225"/>
      <c r="F380" s="225"/>
      <c r="G380" s="225"/>
      <c r="H380" s="225"/>
      <c r="I380" s="225"/>
      <c r="J380" s="225"/>
      <c r="K380" s="87"/>
      <c r="L380" s="87"/>
    </row>
    <row r="381" spans="1:12" ht="12.75">
      <c r="A381" s="227" t="s">
        <v>595</v>
      </c>
      <c r="B381" s="227"/>
      <c r="C381" s="225"/>
      <c r="D381" s="225"/>
      <c r="E381" s="225"/>
      <c r="F381" s="225"/>
      <c r="G381" s="225"/>
      <c r="H381" s="225"/>
      <c r="I381" s="225"/>
      <c r="J381" s="225"/>
      <c r="K381" s="87"/>
      <c r="L381" s="87"/>
    </row>
    <row r="382" spans="1:12" ht="12.75">
      <c r="A382" s="227" t="s">
        <v>596</v>
      </c>
      <c r="B382" s="227"/>
      <c r="C382" s="225"/>
      <c r="D382" s="225"/>
      <c r="E382" s="225"/>
      <c r="F382" s="225"/>
      <c r="G382" s="225"/>
      <c r="H382" s="225"/>
      <c r="I382" s="225"/>
      <c r="J382" s="225"/>
      <c r="K382" s="87"/>
      <c r="L382" s="87"/>
    </row>
    <row r="383" spans="1:12" ht="12.75">
      <c r="A383" s="87"/>
      <c r="B383" s="227"/>
      <c r="C383" s="225"/>
      <c r="D383" s="87"/>
      <c r="E383" s="225"/>
      <c r="F383" s="225"/>
      <c r="G383" s="225"/>
      <c r="H383" s="225"/>
      <c r="I383" s="225"/>
      <c r="J383" s="225"/>
      <c r="K383" s="87"/>
      <c r="L383" s="87"/>
    </row>
    <row r="384" spans="1:12" ht="12.75">
      <c r="A384" s="227"/>
      <c r="B384" s="225"/>
      <c r="C384" s="225"/>
      <c r="D384" s="87"/>
      <c r="E384" s="225"/>
      <c r="F384" s="225"/>
      <c r="G384" s="225"/>
      <c r="H384" s="225"/>
      <c r="I384" s="225"/>
      <c r="J384" s="225"/>
      <c r="K384" s="87"/>
      <c r="L384" s="87"/>
    </row>
    <row r="385" spans="1:12" ht="12.75">
      <c r="A385" s="274" t="s">
        <v>602</v>
      </c>
      <c r="B385" s="225"/>
      <c r="C385" s="225"/>
      <c r="D385" s="87"/>
      <c r="E385" s="225"/>
      <c r="F385" s="225"/>
      <c r="G385" s="225"/>
      <c r="H385" s="225"/>
      <c r="I385" s="225"/>
      <c r="J385" s="225"/>
      <c r="K385" s="87"/>
      <c r="L385" s="87"/>
    </row>
    <row r="386" spans="1:12" ht="12.75">
      <c r="A386" s="225"/>
      <c r="B386" s="225"/>
      <c r="C386" s="225"/>
      <c r="D386" s="87"/>
      <c r="E386" s="225"/>
      <c r="F386" s="225"/>
      <c r="G386" s="225"/>
      <c r="H386" s="225"/>
      <c r="I386" s="225"/>
      <c r="J386" s="225"/>
      <c r="K386" s="87"/>
      <c r="L386" s="87"/>
    </row>
    <row r="387" spans="1:12" ht="12.75">
      <c r="A387" s="225" t="s">
        <v>588</v>
      </c>
      <c r="B387" s="225"/>
      <c r="C387" s="225"/>
      <c r="D387" s="87"/>
      <c r="E387" s="225"/>
      <c r="F387" s="225"/>
      <c r="G387" s="225"/>
      <c r="H387" s="225"/>
      <c r="I387" s="225"/>
      <c r="J387" s="225"/>
      <c r="K387" s="87"/>
      <c r="L387" s="87"/>
    </row>
    <row r="388" spans="1:12" ht="12.75">
      <c r="A388" s="225" t="s">
        <v>589</v>
      </c>
      <c r="B388" s="225"/>
      <c r="C388" s="225"/>
      <c r="D388" s="87"/>
      <c r="E388" s="225"/>
      <c r="F388" s="225"/>
      <c r="G388" s="225"/>
      <c r="H388" s="225"/>
      <c r="I388" s="225"/>
      <c r="J388" s="225"/>
      <c r="K388" s="87"/>
      <c r="L388" s="87"/>
    </row>
    <row r="389" spans="1:12" ht="12.75">
      <c r="A389" s="225"/>
      <c r="B389" s="225"/>
      <c r="C389" s="225"/>
      <c r="D389" s="87"/>
      <c r="E389" s="225"/>
      <c r="F389" s="225"/>
      <c r="G389" s="225"/>
      <c r="H389" s="225"/>
      <c r="I389" s="225"/>
      <c r="J389" s="225"/>
      <c r="K389" s="87"/>
      <c r="L389" s="87"/>
    </row>
    <row r="390" spans="1:12" ht="12.75">
      <c r="A390" s="225"/>
      <c r="B390" s="225"/>
      <c r="C390" s="87"/>
      <c r="D390" s="87"/>
      <c r="E390" s="225"/>
      <c r="F390" s="225"/>
      <c r="G390" s="225"/>
      <c r="H390" s="225"/>
      <c r="I390" s="225"/>
      <c r="J390" s="225"/>
      <c r="K390" s="87"/>
      <c r="L390" s="87"/>
    </row>
    <row r="391" spans="1:12" ht="12.75">
      <c r="A391" s="225"/>
      <c r="B391" s="225"/>
      <c r="C391" s="87"/>
      <c r="D391" s="87"/>
      <c r="E391" s="225"/>
      <c r="F391" s="225"/>
      <c r="G391" s="225"/>
      <c r="H391" s="225"/>
      <c r="I391" s="225"/>
      <c r="J391" s="225"/>
      <c r="K391" s="87"/>
      <c r="L391" s="87"/>
    </row>
    <row r="392" spans="1:12" ht="12.75">
      <c r="A392" s="225"/>
      <c r="B392" s="225"/>
      <c r="C392" s="87"/>
      <c r="D392" s="87"/>
      <c r="E392" s="225"/>
      <c r="F392" s="225"/>
      <c r="G392" s="225"/>
      <c r="H392" s="225"/>
      <c r="I392" s="225"/>
      <c r="J392" s="225"/>
      <c r="K392" s="87"/>
      <c r="L392" s="87"/>
    </row>
    <row r="393" spans="1:12" ht="12.75">
      <c r="A393" s="87" t="s">
        <v>591</v>
      </c>
      <c r="B393" s="225"/>
      <c r="C393" s="87"/>
      <c r="D393" s="87"/>
      <c r="E393" s="225"/>
      <c r="F393" s="225"/>
      <c r="G393" s="225"/>
      <c r="H393" s="225"/>
      <c r="I393" s="225"/>
      <c r="J393" s="225"/>
      <c r="K393" s="87"/>
      <c r="L393" s="87"/>
    </row>
    <row r="394" spans="1:12" ht="12.75">
      <c r="A394" s="225"/>
      <c r="B394" s="225"/>
      <c r="C394" s="87"/>
      <c r="D394" s="87"/>
      <c r="E394" s="225"/>
      <c r="F394" s="225"/>
      <c r="G394" s="225"/>
      <c r="H394" s="225"/>
      <c r="I394" s="225"/>
      <c r="J394" s="225"/>
      <c r="K394" s="87"/>
      <c r="L394" s="87"/>
    </row>
    <row r="395" spans="1:12" ht="12.75">
      <c r="A395" s="87" t="s">
        <v>590</v>
      </c>
      <c r="B395" s="225"/>
      <c r="C395" s="87"/>
      <c r="D395" s="87"/>
      <c r="E395" s="225"/>
      <c r="F395" s="225"/>
      <c r="G395" s="225"/>
      <c r="H395" s="225"/>
      <c r="I395" s="225"/>
      <c r="J395" s="225"/>
      <c r="K395" s="87"/>
      <c r="L395" s="87"/>
    </row>
    <row r="396" spans="1:12" ht="12.75">
      <c r="A396" s="87"/>
      <c r="B396" s="225"/>
      <c r="C396" s="87"/>
      <c r="D396" s="87"/>
      <c r="E396" s="225"/>
      <c r="F396" s="225"/>
      <c r="G396" s="225"/>
      <c r="H396" s="225"/>
      <c r="I396" s="225"/>
      <c r="J396" s="225"/>
      <c r="K396" s="87"/>
      <c r="L396" s="87"/>
    </row>
    <row r="397" spans="1:12" ht="12.75">
      <c r="A397" s="225" t="s">
        <v>597</v>
      </c>
      <c r="B397" s="87"/>
      <c r="C397" s="87"/>
      <c r="D397" s="87"/>
      <c r="E397" s="225"/>
      <c r="F397" s="225"/>
      <c r="G397" s="225"/>
      <c r="H397" s="225"/>
      <c r="I397" s="225"/>
      <c r="J397" s="225"/>
      <c r="K397" s="87"/>
      <c r="L397" s="87"/>
    </row>
    <row r="398" spans="1:12" ht="12.75">
      <c r="A398" s="225" t="s">
        <v>598</v>
      </c>
      <c r="B398" s="87"/>
      <c r="C398" s="87"/>
      <c r="D398" s="87"/>
      <c r="E398" s="225"/>
      <c r="F398" s="225"/>
      <c r="G398" s="225"/>
      <c r="H398" s="225"/>
      <c r="I398" s="225"/>
      <c r="J398" s="225"/>
      <c r="K398" s="87"/>
      <c r="L398" s="87"/>
    </row>
    <row r="399" spans="1:12" ht="12.75">
      <c r="A399" s="87"/>
      <c r="B399" s="87"/>
      <c r="C399" s="87"/>
      <c r="D399" s="87"/>
      <c r="E399" s="225"/>
      <c r="F399" s="225"/>
      <c r="G399" s="225"/>
      <c r="H399" s="225"/>
      <c r="I399" s="225"/>
      <c r="J399" s="225"/>
      <c r="K399" s="87"/>
      <c r="L399" s="87"/>
    </row>
    <row r="400" spans="1:12" ht="12.75">
      <c r="A400" s="87"/>
      <c r="B400" s="87"/>
      <c r="C400" s="87"/>
      <c r="D400" s="87"/>
      <c r="E400" s="225"/>
      <c r="F400" s="225"/>
      <c r="G400" s="225"/>
      <c r="H400" s="225"/>
      <c r="I400" s="225"/>
      <c r="J400" s="225"/>
      <c r="K400" s="87"/>
      <c r="L400" s="87"/>
    </row>
    <row r="401" spans="1:12" ht="12.75">
      <c r="A401" s="225" t="s">
        <v>599</v>
      </c>
      <c r="B401" s="87"/>
      <c r="C401" s="87"/>
      <c r="D401" s="87"/>
      <c r="E401" s="225"/>
      <c r="F401" s="225"/>
      <c r="G401" s="225"/>
      <c r="H401" s="225"/>
      <c r="I401" s="225"/>
      <c r="J401" s="225"/>
      <c r="K401" s="87"/>
      <c r="L401" s="87"/>
    </row>
    <row r="402" spans="1:12" ht="12.75">
      <c r="A402" s="225" t="s">
        <v>600</v>
      </c>
      <c r="B402" s="87"/>
      <c r="C402" s="225"/>
      <c r="D402" s="225"/>
      <c r="E402" s="225"/>
      <c r="F402" s="225"/>
      <c r="G402" s="225"/>
      <c r="H402" s="225"/>
      <c r="I402" s="225"/>
      <c r="J402" s="225"/>
      <c r="K402" s="87"/>
      <c r="L402" s="87"/>
    </row>
    <row r="403" spans="1:12" ht="12.75">
      <c r="A403" s="225"/>
      <c r="B403" s="87"/>
      <c r="C403" s="225"/>
      <c r="D403" s="225"/>
      <c r="E403" s="225"/>
      <c r="F403" s="225"/>
      <c r="G403" s="225"/>
      <c r="H403" s="225"/>
      <c r="I403" s="225"/>
      <c r="J403" s="225"/>
      <c r="K403" s="87"/>
      <c r="L403" s="87"/>
    </row>
    <row r="404" spans="1:12" ht="12.75">
      <c r="A404" s="225" t="s">
        <v>601</v>
      </c>
      <c r="B404" s="87"/>
      <c r="C404" s="225"/>
      <c r="D404" s="225"/>
      <c r="E404" s="225"/>
      <c r="F404" s="225"/>
      <c r="G404" s="225"/>
      <c r="H404" s="225"/>
      <c r="I404" s="225"/>
      <c r="J404" s="225"/>
      <c r="K404" s="87"/>
      <c r="L404" s="87"/>
    </row>
    <row r="405" spans="1:12" ht="12.75">
      <c r="A405" s="87"/>
      <c r="B405" s="87"/>
      <c r="C405" s="225"/>
      <c r="D405" s="225"/>
      <c r="E405" s="225"/>
      <c r="F405" s="225"/>
      <c r="G405" s="225"/>
      <c r="H405" s="225"/>
      <c r="I405" s="225"/>
      <c r="J405" s="225"/>
      <c r="K405" s="87"/>
      <c r="L405" s="87"/>
    </row>
    <row r="406" spans="1:12" ht="12.75">
      <c r="A406" s="87"/>
      <c r="B406" s="87"/>
      <c r="C406" s="225"/>
      <c r="D406" s="225"/>
      <c r="E406" s="225"/>
      <c r="F406" s="225"/>
      <c r="G406" s="225"/>
      <c r="H406" s="225"/>
      <c r="I406" s="225"/>
      <c r="J406" s="225"/>
      <c r="K406" s="87"/>
      <c r="L406" s="87"/>
    </row>
    <row r="407" spans="1:12" ht="12.75">
      <c r="A407" s="87"/>
      <c r="B407" s="87"/>
      <c r="C407" s="225"/>
      <c r="D407" s="225"/>
      <c r="E407" s="225"/>
      <c r="F407" s="225"/>
      <c r="G407" s="225"/>
      <c r="H407" s="225"/>
      <c r="I407" s="225"/>
      <c r="J407" s="225"/>
      <c r="K407" s="87"/>
      <c r="L407" s="87"/>
    </row>
    <row r="408" spans="1:12" ht="12.75">
      <c r="A408" s="87"/>
      <c r="B408" s="87"/>
      <c r="C408" s="225"/>
      <c r="D408" s="225"/>
      <c r="E408" s="225"/>
      <c r="F408" s="225"/>
      <c r="G408" s="225"/>
      <c r="H408" s="225"/>
      <c r="I408" s="225"/>
      <c r="J408" s="225"/>
      <c r="K408" s="87"/>
      <c r="L408" s="87"/>
    </row>
    <row r="409" spans="1:12" ht="12.75">
      <c r="A409" s="225"/>
      <c r="B409" s="225"/>
      <c r="C409" s="225"/>
      <c r="D409" s="225"/>
      <c r="E409" s="225"/>
      <c r="F409" s="225"/>
      <c r="G409" s="225"/>
      <c r="H409" s="225"/>
      <c r="I409" s="225"/>
      <c r="J409" s="225"/>
      <c r="K409" s="87"/>
      <c r="L409" s="87"/>
    </row>
    <row r="410" spans="1:12" ht="12.75">
      <c r="A410" s="225"/>
      <c r="B410" s="225"/>
      <c r="C410" s="225"/>
      <c r="D410" s="225"/>
      <c r="E410" s="225"/>
      <c r="F410" s="225"/>
      <c r="G410" s="225"/>
      <c r="H410" s="225"/>
      <c r="I410" s="225"/>
      <c r="J410" s="225"/>
      <c r="K410" s="87"/>
      <c r="L410" s="87"/>
    </row>
    <row r="411" spans="1:12" ht="12.75">
      <c r="A411" s="225"/>
      <c r="B411" s="225"/>
      <c r="C411" s="225"/>
      <c r="D411" s="225"/>
      <c r="E411" s="225"/>
      <c r="F411" s="225"/>
      <c r="G411" s="225"/>
      <c r="H411" s="225"/>
      <c r="I411" s="225"/>
      <c r="J411" s="225"/>
      <c r="K411" s="87"/>
      <c r="L411" s="87"/>
    </row>
    <row r="412" spans="1:12" ht="12.75">
      <c r="A412" s="225"/>
      <c r="B412" s="225"/>
      <c r="C412" s="225"/>
      <c r="D412" s="225"/>
      <c r="E412" s="225"/>
      <c r="F412" s="225"/>
      <c r="G412" s="225"/>
      <c r="H412" s="225"/>
      <c r="I412" s="225"/>
      <c r="J412" s="225"/>
      <c r="K412" s="87"/>
      <c r="L412" s="87"/>
    </row>
    <row r="413" spans="1:12" ht="12.75">
      <c r="A413" s="225"/>
      <c r="B413" s="225"/>
      <c r="C413" s="225"/>
      <c r="D413" s="225"/>
      <c r="E413" s="225"/>
      <c r="F413" s="225"/>
      <c r="G413" s="225"/>
      <c r="H413" s="225"/>
      <c r="I413" s="225"/>
      <c r="J413" s="225"/>
      <c r="K413" s="87"/>
      <c r="L413" s="87"/>
    </row>
    <row r="414" spans="1:12" ht="12.75">
      <c r="A414" s="225"/>
      <c r="B414" s="225"/>
      <c r="C414" s="225"/>
      <c r="D414" s="225"/>
      <c r="E414" s="225"/>
      <c r="F414" s="225"/>
      <c r="G414" s="225"/>
      <c r="H414" s="225"/>
      <c r="I414" s="225"/>
      <c r="J414" s="225"/>
      <c r="K414" s="87"/>
      <c r="L414" s="87"/>
    </row>
    <row r="415" spans="1:12" ht="12.75">
      <c r="A415" s="225"/>
      <c r="B415" s="225"/>
      <c r="C415" s="225"/>
      <c r="D415" s="225"/>
      <c r="E415" s="225"/>
      <c r="F415" s="225"/>
      <c r="G415" s="225"/>
      <c r="H415" s="225"/>
      <c r="I415" s="225"/>
      <c r="J415" s="225"/>
      <c r="K415" s="87"/>
      <c r="L415" s="87"/>
    </row>
    <row r="416" spans="1:12" ht="12.75">
      <c r="A416" s="225"/>
      <c r="B416" s="225"/>
      <c r="C416" s="225"/>
      <c r="D416" s="225"/>
      <c r="E416" s="225"/>
      <c r="F416" s="225"/>
      <c r="G416" s="225"/>
      <c r="H416" s="225"/>
      <c r="I416" s="225"/>
      <c r="J416" s="225"/>
      <c r="K416" s="87"/>
      <c r="L416" s="87"/>
    </row>
    <row r="417" spans="1:12" ht="12.75">
      <c r="A417" s="225"/>
      <c r="B417" s="225"/>
      <c r="C417" s="225"/>
      <c r="D417" s="225"/>
      <c r="E417" s="225"/>
      <c r="F417" s="225"/>
      <c r="G417" s="225"/>
      <c r="H417" s="225"/>
      <c r="I417" s="225"/>
      <c r="J417" s="225"/>
      <c r="K417" s="87"/>
      <c r="L417" s="87"/>
    </row>
    <row r="418" spans="1:12" ht="12.75">
      <c r="A418" s="225"/>
      <c r="B418" s="225"/>
      <c r="C418" s="225"/>
      <c r="D418" s="225"/>
      <c r="E418" s="225"/>
      <c r="F418" s="225"/>
      <c r="G418" s="225"/>
      <c r="H418" s="225"/>
      <c r="I418" s="225"/>
      <c r="J418" s="225"/>
      <c r="K418" s="87"/>
      <c r="L418" s="87"/>
    </row>
    <row r="419" spans="1:10" ht="12.75">
      <c r="A419" s="174"/>
      <c r="B419" s="174"/>
      <c r="C419" s="174"/>
      <c r="D419" s="174"/>
      <c r="E419" s="103"/>
      <c r="F419" s="103"/>
      <c r="G419" s="103"/>
      <c r="H419" s="103"/>
      <c r="I419" s="103"/>
      <c r="J419" s="103"/>
    </row>
    <row r="420" spans="1:10" ht="12.75">
      <c r="A420" s="174"/>
      <c r="B420" s="174"/>
      <c r="C420" s="174"/>
      <c r="D420" s="174"/>
      <c r="E420" s="103"/>
      <c r="F420" s="103"/>
      <c r="G420" s="103"/>
      <c r="H420" s="103"/>
      <c r="I420" s="103"/>
      <c r="J420" s="103"/>
    </row>
    <row r="421" spans="1:10" ht="12.75">
      <c r="A421" s="174"/>
      <c r="B421" s="174"/>
      <c r="C421" s="174"/>
      <c r="D421" s="174"/>
      <c r="E421" s="103"/>
      <c r="F421" s="103"/>
      <c r="G421" s="103"/>
      <c r="H421" s="103"/>
      <c r="I421" s="103"/>
      <c r="J421" s="103"/>
    </row>
    <row r="422" spans="1:10" ht="12.75">
      <c r="A422" s="174"/>
      <c r="B422" s="174"/>
      <c r="C422" s="174"/>
      <c r="D422" s="174"/>
      <c r="E422" s="103"/>
      <c r="F422" s="103"/>
      <c r="G422" s="103"/>
      <c r="H422" s="103"/>
      <c r="I422" s="103"/>
      <c r="J422" s="103"/>
    </row>
    <row r="423" spans="1:10" ht="12.75">
      <c r="A423" s="174"/>
      <c r="B423" s="174"/>
      <c r="C423" s="174"/>
      <c r="D423" s="174"/>
      <c r="E423" s="103"/>
      <c r="F423" s="103"/>
      <c r="G423" s="103"/>
      <c r="H423" s="103"/>
      <c r="I423" s="103"/>
      <c r="J423" s="103"/>
    </row>
    <row r="424" spans="1:10" ht="12.75">
      <c r="A424" s="174"/>
      <c r="B424" s="174"/>
      <c r="C424" s="174"/>
      <c r="D424" s="174"/>
      <c r="E424" s="103"/>
      <c r="F424" s="103"/>
      <c r="G424" s="103"/>
      <c r="H424" s="103"/>
      <c r="I424" s="103"/>
      <c r="J424" s="103"/>
    </row>
    <row r="425" spans="1:10" ht="12.75">
      <c r="A425" s="174"/>
      <c r="B425" s="174"/>
      <c r="C425" s="174"/>
      <c r="D425" s="174"/>
      <c r="E425" s="103"/>
      <c r="F425" s="103"/>
      <c r="G425" s="103"/>
      <c r="H425" s="103"/>
      <c r="I425" s="103"/>
      <c r="J425" s="103"/>
    </row>
    <row r="426" spans="1:10" ht="12.75">
      <c r="A426" s="174"/>
      <c r="B426" s="174"/>
      <c r="C426" s="174"/>
      <c r="D426" s="174"/>
      <c r="E426" s="103"/>
      <c r="F426" s="103"/>
      <c r="G426" s="103"/>
      <c r="H426" s="103"/>
      <c r="I426" s="103"/>
      <c r="J426" s="103"/>
    </row>
    <row r="427" spans="1:10" ht="12.75">
      <c r="A427" s="174"/>
      <c r="B427" s="174"/>
      <c r="C427" s="174"/>
      <c r="D427" s="174"/>
      <c r="E427" s="103"/>
      <c r="F427" s="103"/>
      <c r="G427" s="103"/>
      <c r="H427" s="103"/>
      <c r="I427" s="103"/>
      <c r="J427" s="103"/>
    </row>
    <row r="428" spans="1:10" ht="12.75">
      <c r="A428" s="174"/>
      <c r="B428" s="174"/>
      <c r="C428" s="174"/>
      <c r="D428" s="174"/>
      <c r="E428" s="103"/>
      <c r="F428" s="103"/>
      <c r="G428" s="103"/>
      <c r="H428" s="103"/>
      <c r="I428" s="103"/>
      <c r="J428" s="103"/>
    </row>
    <row r="429" spans="1:10" ht="12.75">
      <c r="A429" s="174"/>
      <c r="B429" s="174"/>
      <c r="C429" s="174"/>
      <c r="D429" s="174"/>
      <c r="E429" s="103"/>
      <c r="F429" s="103"/>
      <c r="G429" s="103"/>
      <c r="H429" s="103"/>
      <c r="I429" s="103"/>
      <c r="J429" s="103"/>
    </row>
    <row r="430" spans="1:10" ht="12.75">
      <c r="A430" s="174"/>
      <c r="B430" s="174"/>
      <c r="C430" s="174"/>
      <c r="D430" s="174"/>
      <c r="E430" s="103"/>
      <c r="F430" s="103"/>
      <c r="G430" s="103"/>
      <c r="H430" s="103"/>
      <c r="I430" s="103"/>
      <c r="J430" s="103"/>
    </row>
    <row r="431" spans="1:10" ht="12.75">
      <c r="A431" s="174"/>
      <c r="B431" s="174"/>
      <c r="C431" s="174"/>
      <c r="D431" s="174"/>
      <c r="E431" s="103"/>
      <c r="F431" s="103"/>
      <c r="G431" s="103"/>
      <c r="H431" s="103"/>
      <c r="I431" s="103"/>
      <c r="J431" s="103"/>
    </row>
    <row r="432" spans="1:10" ht="12.75">
      <c r="A432" s="174"/>
      <c r="B432" s="174"/>
      <c r="C432" s="174"/>
      <c r="D432" s="174"/>
      <c r="E432" s="103"/>
      <c r="F432" s="103"/>
      <c r="G432" s="103"/>
      <c r="H432" s="103"/>
      <c r="I432" s="103"/>
      <c r="J432" s="103"/>
    </row>
    <row r="433" spans="1:10" ht="12.75">
      <c r="A433" s="174"/>
      <c r="B433" s="174"/>
      <c r="C433" s="174"/>
      <c r="D433" s="174"/>
      <c r="E433" s="103"/>
      <c r="F433" s="103"/>
      <c r="G433" s="103"/>
      <c r="H433" s="103"/>
      <c r="I433" s="103"/>
      <c r="J433" s="103"/>
    </row>
    <row r="434" spans="1:10" ht="12.75">
      <c r="A434" s="174"/>
      <c r="B434" s="174"/>
      <c r="C434" s="174"/>
      <c r="D434" s="174"/>
      <c r="E434" s="103"/>
      <c r="F434" s="103"/>
      <c r="G434" s="103"/>
      <c r="H434" s="103"/>
      <c r="I434" s="103"/>
      <c r="J434" s="103"/>
    </row>
    <row r="435" spans="1:10" ht="12.75">
      <c r="A435" s="174"/>
      <c r="B435" s="174"/>
      <c r="C435" s="174"/>
      <c r="D435" s="174"/>
      <c r="E435" s="103"/>
      <c r="F435" s="103"/>
      <c r="G435" s="103"/>
      <c r="H435" s="103"/>
      <c r="I435" s="103"/>
      <c r="J435" s="103"/>
    </row>
    <row r="436" spans="1:10" ht="12.75">
      <c r="A436" s="174"/>
      <c r="B436" s="174"/>
      <c r="C436" s="174"/>
      <c r="D436" s="174"/>
      <c r="E436" s="103"/>
      <c r="F436" s="103"/>
      <c r="G436" s="103"/>
      <c r="H436" s="103"/>
      <c r="I436" s="103"/>
      <c r="J436" s="103"/>
    </row>
    <row r="437" spans="1:10" ht="12.75">
      <c r="A437" s="174"/>
      <c r="B437" s="174"/>
      <c r="C437" s="174"/>
      <c r="D437" s="174"/>
      <c r="E437" s="103"/>
      <c r="F437" s="103"/>
      <c r="G437" s="103"/>
      <c r="H437" s="103"/>
      <c r="I437" s="103"/>
      <c r="J437" s="103"/>
    </row>
    <row r="438" spans="1:10" ht="12.75">
      <c r="A438" s="174"/>
      <c r="B438" s="174"/>
      <c r="C438" s="174"/>
      <c r="D438" s="174"/>
      <c r="E438" s="103"/>
      <c r="F438" s="103"/>
      <c r="G438" s="103"/>
      <c r="H438" s="103"/>
      <c r="I438" s="103"/>
      <c r="J438" s="103"/>
    </row>
    <row r="439" spans="1:10" ht="12.75">
      <c r="A439" s="174"/>
      <c r="B439" s="174"/>
      <c r="C439" s="174"/>
      <c r="D439" s="174"/>
      <c r="E439" s="103"/>
      <c r="F439" s="103"/>
      <c r="G439" s="103"/>
      <c r="H439" s="103"/>
      <c r="I439" s="103"/>
      <c r="J439" s="103"/>
    </row>
    <row r="440" spans="1:10" ht="12.75">
      <c r="A440" s="174"/>
      <c r="B440" s="174"/>
      <c r="C440" s="174"/>
      <c r="D440" s="174"/>
      <c r="E440" s="103"/>
      <c r="F440" s="103"/>
      <c r="G440" s="103"/>
      <c r="H440" s="103"/>
      <c r="I440" s="103"/>
      <c r="J440" s="103"/>
    </row>
    <row r="441" spans="1:10" ht="12.75">
      <c r="A441" s="174"/>
      <c r="B441" s="174"/>
      <c r="C441" s="174"/>
      <c r="D441" s="174"/>
      <c r="E441" s="103"/>
      <c r="F441" s="103"/>
      <c r="G441" s="103"/>
      <c r="H441" s="103"/>
      <c r="I441" s="103"/>
      <c r="J441" s="103"/>
    </row>
    <row r="442" spans="1:10" ht="12.75">
      <c r="A442" s="174"/>
      <c r="B442" s="174"/>
      <c r="C442" s="174"/>
      <c r="D442" s="174"/>
      <c r="E442" s="103"/>
      <c r="F442" s="103"/>
      <c r="G442" s="103"/>
      <c r="H442" s="103"/>
      <c r="I442" s="103"/>
      <c r="J442" s="103"/>
    </row>
    <row r="443" spans="1:10" ht="12.75">
      <c r="A443" s="174"/>
      <c r="B443" s="174"/>
      <c r="C443" s="174"/>
      <c r="D443" s="174"/>
      <c r="E443" s="103"/>
      <c r="F443" s="103"/>
      <c r="G443" s="103"/>
      <c r="H443" s="103"/>
      <c r="I443" s="103"/>
      <c r="J443" s="103"/>
    </row>
    <row r="444" spans="1:10" ht="12.75">
      <c r="A444" s="174"/>
      <c r="B444" s="174"/>
      <c r="C444" s="174"/>
      <c r="D444" s="174"/>
      <c r="E444" s="103"/>
      <c r="F444" s="103"/>
      <c r="G444" s="103"/>
      <c r="H444" s="103"/>
      <c r="I444" s="103"/>
      <c r="J444" s="103"/>
    </row>
    <row r="445" spans="1:10" ht="12.75">
      <c r="A445" s="174"/>
      <c r="B445" s="174"/>
      <c r="C445" s="174"/>
      <c r="D445" s="174"/>
      <c r="E445" s="103"/>
      <c r="F445" s="103"/>
      <c r="G445" s="103"/>
      <c r="H445" s="103"/>
      <c r="I445" s="103"/>
      <c r="J445" s="103"/>
    </row>
    <row r="446" spans="1:10" ht="12.75">
      <c r="A446" s="174"/>
      <c r="B446" s="174"/>
      <c r="C446" s="174"/>
      <c r="D446" s="174"/>
      <c r="E446" s="103"/>
      <c r="F446" s="103"/>
      <c r="G446" s="103"/>
      <c r="H446" s="103"/>
      <c r="I446" s="103"/>
      <c r="J446" s="103"/>
    </row>
    <row r="447" spans="1:10" ht="12.75">
      <c r="A447" s="174"/>
      <c r="B447" s="174"/>
      <c r="C447" s="174"/>
      <c r="D447" s="174"/>
      <c r="E447" s="103"/>
      <c r="F447" s="103"/>
      <c r="G447" s="103"/>
      <c r="H447" s="103"/>
      <c r="I447" s="103"/>
      <c r="J447" s="103"/>
    </row>
    <row r="448" spans="1:10" ht="12.75">
      <c r="A448" s="174"/>
      <c r="B448" s="174"/>
      <c r="C448" s="174"/>
      <c r="D448" s="174"/>
      <c r="E448" s="103"/>
      <c r="F448" s="103"/>
      <c r="G448" s="103"/>
      <c r="H448" s="103"/>
      <c r="I448" s="103"/>
      <c r="J448" s="103"/>
    </row>
    <row r="449" spans="1:10" ht="12.75">
      <c r="A449" s="174"/>
      <c r="B449" s="174"/>
      <c r="C449" s="174"/>
      <c r="D449" s="174"/>
      <c r="E449" s="103"/>
      <c r="F449" s="103"/>
      <c r="G449" s="103"/>
      <c r="H449" s="103"/>
      <c r="I449" s="103"/>
      <c r="J449" s="103"/>
    </row>
    <row r="450" spans="1:10" ht="12.75">
      <c r="A450" s="174"/>
      <c r="B450" s="174"/>
      <c r="C450" s="174"/>
      <c r="D450" s="174"/>
      <c r="E450" s="103"/>
      <c r="F450" s="103"/>
      <c r="G450" s="103"/>
      <c r="H450" s="103"/>
      <c r="I450" s="103"/>
      <c r="J450" s="103"/>
    </row>
    <row r="451" spans="1:10" ht="12.75">
      <c r="A451" s="174"/>
      <c r="B451" s="174"/>
      <c r="C451" s="174"/>
      <c r="D451" s="174"/>
      <c r="E451" s="103"/>
      <c r="F451" s="103"/>
      <c r="G451" s="103"/>
      <c r="H451" s="103"/>
      <c r="I451" s="103"/>
      <c r="J451" s="103"/>
    </row>
    <row r="452" spans="1:10" ht="12.75">
      <c r="A452" s="174"/>
      <c r="B452" s="174"/>
      <c r="C452" s="174"/>
      <c r="D452" s="174"/>
      <c r="E452" s="103"/>
      <c r="F452" s="103"/>
      <c r="G452" s="103"/>
      <c r="H452" s="103"/>
      <c r="I452" s="103"/>
      <c r="J452" s="103"/>
    </row>
    <row r="453" spans="1:10" ht="12.75">
      <c r="A453" s="174"/>
      <c r="B453" s="174"/>
      <c r="C453" s="174"/>
      <c r="D453" s="174"/>
      <c r="E453" s="103"/>
      <c r="F453" s="103"/>
      <c r="G453" s="103"/>
      <c r="H453" s="103"/>
      <c r="I453" s="103"/>
      <c r="J453" s="103"/>
    </row>
    <row r="454" spans="1:10" ht="12.75">
      <c r="A454" s="174"/>
      <c r="B454" s="174"/>
      <c r="C454" s="174"/>
      <c r="D454" s="174"/>
      <c r="E454" s="103"/>
      <c r="F454" s="103"/>
      <c r="G454" s="103"/>
      <c r="H454" s="103"/>
      <c r="I454" s="103"/>
      <c r="J454" s="103"/>
    </row>
    <row r="455" spans="1:10" ht="12.75">
      <c r="A455" s="174"/>
      <c r="B455" s="174"/>
      <c r="C455" s="174"/>
      <c r="D455" s="174"/>
      <c r="E455" s="103"/>
      <c r="F455" s="103"/>
      <c r="G455" s="103"/>
      <c r="H455" s="103"/>
      <c r="I455" s="103"/>
      <c r="J455" s="103"/>
    </row>
    <row r="456" spans="1:10" ht="12.75">
      <c r="A456" s="174"/>
      <c r="B456" s="174"/>
      <c r="C456" s="174"/>
      <c r="D456" s="174"/>
      <c r="E456" s="103"/>
      <c r="F456" s="103"/>
      <c r="G456" s="103"/>
      <c r="H456" s="103"/>
      <c r="I456" s="103"/>
      <c r="J456" s="103"/>
    </row>
    <row r="457" spans="1:10" ht="12.75">
      <c r="A457" s="174"/>
      <c r="B457" s="174"/>
      <c r="C457" s="174"/>
      <c r="D457" s="174"/>
      <c r="E457" s="103"/>
      <c r="F457" s="103"/>
      <c r="G457" s="103"/>
      <c r="H457" s="103"/>
      <c r="I457" s="103"/>
      <c r="J457" s="103"/>
    </row>
    <row r="458" spans="1:10" ht="12.75">
      <c r="A458" s="174"/>
      <c r="B458" s="174"/>
      <c r="C458" s="174"/>
      <c r="D458" s="174"/>
      <c r="E458" s="103"/>
      <c r="F458" s="103"/>
      <c r="G458" s="103"/>
      <c r="H458" s="103"/>
      <c r="I458" s="103"/>
      <c r="J458" s="103"/>
    </row>
    <row r="459" spans="1:10" ht="12.75">
      <c r="A459" s="174"/>
      <c r="B459" s="174"/>
      <c r="C459" s="174"/>
      <c r="D459" s="174"/>
      <c r="E459" s="103"/>
      <c r="F459" s="103"/>
      <c r="G459" s="103"/>
      <c r="H459" s="103"/>
      <c r="I459" s="103"/>
      <c r="J459" s="103"/>
    </row>
    <row r="460" spans="1:10" ht="12.75">
      <c r="A460" s="174"/>
      <c r="B460" s="174"/>
      <c r="C460" s="174"/>
      <c r="D460" s="174"/>
      <c r="E460" s="103"/>
      <c r="F460" s="103"/>
      <c r="G460" s="103"/>
      <c r="H460" s="103"/>
      <c r="I460" s="103"/>
      <c r="J460" s="103"/>
    </row>
    <row r="461" spans="1:10" ht="12.75">
      <c r="A461" s="174"/>
      <c r="B461" s="174"/>
      <c r="C461" s="174"/>
      <c r="D461" s="174"/>
      <c r="E461" s="103"/>
      <c r="F461" s="103"/>
      <c r="G461" s="103"/>
      <c r="H461" s="103"/>
      <c r="I461" s="103"/>
      <c r="J461" s="103"/>
    </row>
    <row r="462" spans="1:10" ht="12.75">
      <c r="A462" s="174"/>
      <c r="B462" s="174"/>
      <c r="C462" s="174"/>
      <c r="D462" s="174"/>
      <c r="E462" s="103"/>
      <c r="F462" s="103"/>
      <c r="G462" s="103"/>
      <c r="H462" s="103"/>
      <c r="I462" s="103"/>
      <c r="J462" s="103"/>
    </row>
    <row r="463" spans="1:10" ht="12.75">
      <c r="A463" s="174"/>
      <c r="B463" s="174"/>
      <c r="C463" s="174"/>
      <c r="D463" s="174"/>
      <c r="E463" s="103"/>
      <c r="F463" s="103"/>
      <c r="G463" s="103"/>
      <c r="H463" s="103"/>
      <c r="I463" s="103"/>
      <c r="J463" s="103"/>
    </row>
    <row r="464" spans="1:10" ht="12.75">
      <c r="A464" s="174"/>
      <c r="B464" s="174"/>
      <c r="C464" s="174"/>
      <c r="D464" s="174"/>
      <c r="E464" s="103"/>
      <c r="F464" s="103"/>
      <c r="G464" s="103"/>
      <c r="H464" s="103"/>
      <c r="I464" s="103"/>
      <c r="J464" s="103"/>
    </row>
    <row r="465" spans="1:10" ht="12.75">
      <c r="A465" s="174"/>
      <c r="B465" s="174"/>
      <c r="C465" s="174"/>
      <c r="D465" s="174"/>
      <c r="E465" s="103"/>
      <c r="F465" s="103"/>
      <c r="G465" s="103"/>
      <c r="H465" s="103"/>
      <c r="I465" s="103"/>
      <c r="J465" s="103"/>
    </row>
    <row r="466" spans="1:10" ht="12.75">
      <c r="A466" s="174"/>
      <c r="B466" s="174"/>
      <c r="C466" s="174"/>
      <c r="D466" s="174"/>
      <c r="E466" s="103"/>
      <c r="F466" s="103"/>
      <c r="G466" s="103"/>
      <c r="H466" s="103"/>
      <c r="I466" s="103"/>
      <c r="J466" s="103"/>
    </row>
    <row r="467" spans="1:10" ht="12.75">
      <c r="A467" s="174"/>
      <c r="B467" s="174"/>
      <c r="C467" s="174"/>
      <c r="D467" s="174"/>
      <c r="E467" s="103"/>
      <c r="F467" s="103"/>
      <c r="G467" s="103"/>
      <c r="H467" s="103"/>
      <c r="I467" s="103"/>
      <c r="J467" s="103"/>
    </row>
    <row r="468" spans="1:10" ht="12.75">
      <c r="A468" s="174"/>
      <c r="B468" s="174"/>
      <c r="C468" s="174"/>
      <c r="D468" s="174"/>
      <c r="E468" s="103"/>
      <c r="F468" s="103"/>
      <c r="G468" s="103"/>
      <c r="H468" s="103"/>
      <c r="I468" s="103"/>
      <c r="J468" s="103"/>
    </row>
    <row r="469" spans="1:10" ht="12.75">
      <c r="A469" s="174"/>
      <c r="B469" s="174"/>
      <c r="C469" s="174"/>
      <c r="D469" s="174"/>
      <c r="E469" s="103"/>
      <c r="F469" s="103"/>
      <c r="G469" s="103"/>
      <c r="H469" s="103"/>
      <c r="I469" s="103"/>
      <c r="J469" s="103"/>
    </row>
    <row r="470" spans="1:10" ht="12.75">
      <c r="A470" s="174"/>
      <c r="B470" s="174"/>
      <c r="C470" s="174"/>
      <c r="D470" s="174"/>
      <c r="E470" s="103"/>
      <c r="F470" s="103"/>
      <c r="G470" s="103"/>
      <c r="H470" s="103"/>
      <c r="I470" s="103"/>
      <c r="J470" s="103"/>
    </row>
    <row r="471" spans="1:10" ht="12.75">
      <c r="A471" s="174"/>
      <c r="B471" s="174"/>
      <c r="C471" s="174"/>
      <c r="D471" s="174"/>
      <c r="E471" s="103"/>
      <c r="F471" s="103"/>
      <c r="G471" s="103"/>
      <c r="H471" s="103"/>
      <c r="I471" s="103"/>
      <c r="J471" s="103"/>
    </row>
    <row r="472" spans="1:10" ht="12.75">
      <c r="A472" s="174"/>
      <c r="B472" s="174"/>
      <c r="C472" s="174"/>
      <c r="D472" s="174"/>
      <c r="E472" s="103"/>
      <c r="F472" s="103"/>
      <c r="G472" s="103"/>
      <c r="H472" s="103"/>
      <c r="I472" s="103"/>
      <c r="J472" s="103"/>
    </row>
    <row r="473" spans="1:10" ht="12.75">
      <c r="A473" s="174"/>
      <c r="B473" s="174"/>
      <c r="C473" s="174"/>
      <c r="D473" s="174"/>
      <c r="E473" s="103"/>
      <c r="F473" s="103"/>
      <c r="G473" s="103"/>
      <c r="H473" s="103"/>
      <c r="I473" s="103"/>
      <c r="J473" s="103"/>
    </row>
    <row r="474" spans="1:10" ht="12.75">
      <c r="A474" s="174"/>
      <c r="B474" s="174"/>
      <c r="C474" s="174"/>
      <c r="D474" s="174"/>
      <c r="E474" s="103"/>
      <c r="F474" s="103"/>
      <c r="G474" s="103"/>
      <c r="H474" s="103"/>
      <c r="I474" s="103"/>
      <c r="J474" s="103"/>
    </row>
    <row r="475" spans="1:10" ht="12.75">
      <c r="A475" s="174"/>
      <c r="B475" s="174"/>
      <c r="C475" s="174"/>
      <c r="D475" s="174"/>
      <c r="E475" s="103"/>
      <c r="F475" s="103"/>
      <c r="G475" s="103"/>
      <c r="H475" s="103"/>
      <c r="I475" s="103"/>
      <c r="J475" s="103"/>
    </row>
    <row r="476" spans="1:10" ht="12.75">
      <c r="A476" s="174"/>
      <c r="B476" s="174"/>
      <c r="C476" s="174"/>
      <c r="D476" s="174"/>
      <c r="E476" s="103"/>
      <c r="F476" s="103"/>
      <c r="G476" s="103"/>
      <c r="H476" s="103"/>
      <c r="I476" s="103"/>
      <c r="J476" s="103"/>
    </row>
    <row r="477" spans="1:10" ht="12.75">
      <c r="A477" s="174"/>
      <c r="B477" s="174"/>
      <c r="C477" s="174"/>
      <c r="D477" s="174"/>
      <c r="E477" s="103"/>
      <c r="F477" s="103"/>
      <c r="G477" s="103"/>
      <c r="H477" s="103"/>
      <c r="I477" s="103"/>
      <c r="J477" s="103"/>
    </row>
    <row r="478" spans="1:10" ht="12.75">
      <c r="A478" s="174"/>
      <c r="B478" s="174"/>
      <c r="C478" s="174"/>
      <c r="D478" s="174"/>
      <c r="E478" s="103"/>
      <c r="F478" s="103"/>
      <c r="G478" s="103"/>
      <c r="H478" s="103"/>
      <c r="I478" s="103"/>
      <c r="J478" s="103"/>
    </row>
    <row r="479" spans="1:10" ht="12.75">
      <c r="A479" s="174"/>
      <c r="B479" s="174"/>
      <c r="C479" s="174"/>
      <c r="D479" s="174"/>
      <c r="E479" s="103"/>
      <c r="F479" s="103"/>
      <c r="G479" s="103"/>
      <c r="H479" s="103"/>
      <c r="I479" s="103"/>
      <c r="J479" s="103"/>
    </row>
    <row r="480" spans="1:10" ht="12.75">
      <c r="A480" s="174"/>
      <c r="B480" s="174"/>
      <c r="C480" s="174"/>
      <c r="D480" s="174"/>
      <c r="E480" s="103"/>
      <c r="F480" s="103"/>
      <c r="G480" s="103"/>
      <c r="H480" s="103"/>
      <c r="I480" s="103"/>
      <c r="J480" s="103"/>
    </row>
    <row r="481" spans="1:10" ht="12.75">
      <c r="A481" s="174"/>
      <c r="B481" s="174"/>
      <c r="C481" s="174"/>
      <c r="D481" s="174"/>
      <c r="E481" s="103"/>
      <c r="F481" s="103"/>
      <c r="G481" s="103"/>
      <c r="H481" s="103"/>
      <c r="I481" s="103"/>
      <c r="J481" s="103"/>
    </row>
    <row r="482" spans="1:10" ht="12.75">
      <c r="A482" s="174"/>
      <c r="B482" s="174"/>
      <c r="C482" s="174"/>
      <c r="D482" s="174"/>
      <c r="E482" s="103"/>
      <c r="F482" s="103"/>
      <c r="G482" s="103"/>
      <c r="H482" s="103"/>
      <c r="I482" s="103"/>
      <c r="J482" s="103"/>
    </row>
    <row r="483" spans="1:10" ht="12.75">
      <c r="A483" s="174"/>
      <c r="B483" s="174"/>
      <c r="C483" s="174"/>
      <c r="D483" s="174"/>
      <c r="E483" s="103"/>
      <c r="F483" s="103"/>
      <c r="G483" s="103"/>
      <c r="H483" s="103"/>
      <c r="I483" s="103"/>
      <c r="J483" s="103"/>
    </row>
    <row r="484" spans="1:10" ht="12.75">
      <c r="A484" s="174"/>
      <c r="B484" s="174"/>
      <c r="C484" s="174"/>
      <c r="D484" s="174"/>
      <c r="E484" s="103"/>
      <c r="F484" s="103"/>
      <c r="G484" s="103"/>
      <c r="H484" s="103"/>
      <c r="I484" s="103"/>
      <c r="J484" s="103"/>
    </row>
    <row r="485" spans="1:10" ht="12.75">
      <c r="A485" s="174"/>
      <c r="B485" s="174"/>
      <c r="C485" s="174"/>
      <c r="D485" s="174"/>
      <c r="E485" s="103"/>
      <c r="F485" s="103"/>
      <c r="G485" s="103"/>
      <c r="H485" s="103"/>
      <c r="I485" s="103"/>
      <c r="J485" s="103"/>
    </row>
    <row r="486" spans="1:10" ht="12.75">
      <c r="A486" s="174"/>
      <c r="B486" s="174"/>
      <c r="C486" s="174"/>
      <c r="D486" s="174"/>
      <c r="E486" s="103"/>
      <c r="F486" s="103"/>
      <c r="G486" s="103"/>
      <c r="H486" s="103"/>
      <c r="I486" s="103"/>
      <c r="J486" s="103"/>
    </row>
    <row r="487" spans="1:10" ht="12.75">
      <c r="A487" s="103"/>
      <c r="B487" s="103"/>
      <c r="C487" s="103"/>
      <c r="D487" s="103"/>
      <c r="E487" s="103"/>
      <c r="F487" s="103"/>
      <c r="G487" s="103"/>
      <c r="H487" s="103"/>
      <c r="I487" s="103"/>
      <c r="J487" s="103"/>
    </row>
    <row r="488" spans="1:10" ht="12.75">
      <c r="A488" s="103"/>
      <c r="B488" s="103"/>
      <c r="C488" s="103"/>
      <c r="D488" s="103"/>
      <c r="E488" s="103"/>
      <c r="F488" s="103"/>
      <c r="G488" s="103"/>
      <c r="H488" s="103"/>
      <c r="I488" s="103"/>
      <c r="J488" s="103"/>
    </row>
    <row r="489" spans="1:10" ht="12.75">
      <c r="A489" s="103"/>
      <c r="B489" s="103"/>
      <c r="C489" s="103"/>
      <c r="D489" s="103"/>
      <c r="E489" s="103"/>
      <c r="F489" s="103"/>
      <c r="G489" s="103"/>
      <c r="H489" s="103"/>
      <c r="I489" s="103"/>
      <c r="J489" s="103"/>
    </row>
    <row r="490" spans="1:10" ht="12.75">
      <c r="A490" s="103"/>
      <c r="B490" s="103"/>
      <c r="C490" s="103"/>
      <c r="D490" s="103"/>
      <c r="E490" s="103"/>
      <c r="F490" s="103"/>
      <c r="G490" s="103"/>
      <c r="H490" s="103"/>
      <c r="I490" s="103"/>
      <c r="J490" s="103"/>
    </row>
    <row r="491" spans="1:10" ht="12.75">
      <c r="A491" s="103"/>
      <c r="B491" s="103"/>
      <c r="C491" s="103"/>
      <c r="D491" s="103"/>
      <c r="E491" s="103"/>
      <c r="F491" s="103"/>
      <c r="G491" s="103"/>
      <c r="H491" s="103"/>
      <c r="I491" s="103"/>
      <c r="J491" s="103"/>
    </row>
    <row r="492" spans="1:10" ht="12.75">
      <c r="A492" s="103"/>
      <c r="B492" s="103"/>
      <c r="C492" s="103"/>
      <c r="D492" s="103"/>
      <c r="E492" s="103"/>
      <c r="F492" s="103"/>
      <c r="G492" s="103"/>
      <c r="H492" s="103"/>
      <c r="I492" s="103"/>
      <c r="J492" s="103"/>
    </row>
    <row r="493" spans="1:10" ht="12.75">
      <c r="A493" s="103"/>
      <c r="B493" s="103"/>
      <c r="C493" s="103"/>
      <c r="D493" s="103"/>
      <c r="E493" s="103"/>
      <c r="F493" s="103"/>
      <c r="G493" s="103"/>
      <c r="H493" s="103"/>
      <c r="I493" s="103"/>
      <c r="J493" s="103"/>
    </row>
    <row r="494" spans="1:10" ht="12.75">
      <c r="A494" s="103"/>
      <c r="B494" s="103"/>
      <c r="C494" s="103"/>
      <c r="D494" s="103"/>
      <c r="E494" s="103"/>
      <c r="F494" s="103"/>
      <c r="G494" s="103"/>
      <c r="H494" s="103"/>
      <c r="I494" s="103"/>
      <c r="J494" s="103"/>
    </row>
    <row r="495" spans="1:10" ht="12.75">
      <c r="A495" s="103"/>
      <c r="B495" s="103"/>
      <c r="C495" s="103"/>
      <c r="D495" s="103"/>
      <c r="E495" s="103"/>
      <c r="F495" s="103"/>
      <c r="G495" s="103"/>
      <c r="H495" s="103"/>
      <c r="I495" s="103"/>
      <c r="J495" s="103"/>
    </row>
    <row r="496" spans="1:10" ht="12.75">
      <c r="A496" s="103"/>
      <c r="B496" s="103"/>
      <c r="C496" s="103"/>
      <c r="D496" s="103"/>
      <c r="E496" s="103"/>
      <c r="F496" s="103"/>
      <c r="G496" s="103"/>
      <c r="H496" s="103"/>
      <c r="I496" s="103"/>
      <c r="J496" s="103"/>
    </row>
    <row r="497" spans="1:10" ht="12.75">
      <c r="A497" s="103"/>
      <c r="B497" s="103"/>
      <c r="C497" s="103"/>
      <c r="D497" s="103"/>
      <c r="E497" s="103"/>
      <c r="F497" s="103"/>
      <c r="G497" s="103"/>
      <c r="H497" s="103"/>
      <c r="I497" s="103"/>
      <c r="J497" s="103"/>
    </row>
    <row r="498" spans="1:10" ht="12.75">
      <c r="A498" s="103"/>
      <c r="B498" s="103"/>
      <c r="C498" s="103"/>
      <c r="D498" s="103"/>
      <c r="E498" s="103"/>
      <c r="F498" s="103"/>
      <c r="G498" s="103"/>
      <c r="H498" s="103"/>
      <c r="I498" s="103"/>
      <c r="J498" s="103"/>
    </row>
    <row r="499" spans="1:10" ht="12.75">
      <c r="A499" s="103"/>
      <c r="B499" s="103"/>
      <c r="C499" s="103"/>
      <c r="D499" s="103"/>
      <c r="E499" s="103"/>
      <c r="F499" s="103"/>
      <c r="G499" s="103"/>
      <c r="H499" s="103"/>
      <c r="I499" s="103"/>
      <c r="J499" s="103"/>
    </row>
    <row r="500" spans="1:10" ht="12.75">
      <c r="A500" s="103"/>
      <c r="B500" s="103"/>
      <c r="C500" s="103"/>
      <c r="D500" s="103"/>
      <c r="E500" s="103"/>
      <c r="F500" s="103"/>
      <c r="G500" s="103"/>
      <c r="H500" s="103"/>
      <c r="I500" s="103"/>
      <c r="J500" s="103"/>
    </row>
    <row r="501" spans="1:10" ht="12.75">
      <c r="A501" s="103"/>
      <c r="B501" s="103"/>
      <c r="C501" s="103"/>
      <c r="D501" s="103"/>
      <c r="E501" s="103"/>
      <c r="F501" s="103"/>
      <c r="G501" s="103"/>
      <c r="H501" s="103"/>
      <c r="I501" s="103"/>
      <c r="J501" s="103"/>
    </row>
    <row r="502" spans="1:10" ht="12.75">
      <c r="A502" s="103"/>
      <c r="B502" s="103"/>
      <c r="C502" s="103"/>
      <c r="D502" s="103"/>
      <c r="E502" s="103"/>
      <c r="F502" s="103"/>
      <c r="G502" s="103"/>
      <c r="H502" s="103"/>
      <c r="I502" s="103"/>
      <c r="J502" s="103"/>
    </row>
    <row r="503" spans="1:10" ht="12.75">
      <c r="A503" s="103"/>
      <c r="B503" s="103"/>
      <c r="C503" s="103"/>
      <c r="D503" s="103"/>
      <c r="E503" s="103"/>
      <c r="F503" s="103"/>
      <c r="G503" s="103"/>
      <c r="H503" s="103"/>
      <c r="I503" s="103"/>
      <c r="J503" s="103"/>
    </row>
    <row r="504" spans="1:10" ht="12.75">
      <c r="A504" s="103"/>
      <c r="B504" s="103"/>
      <c r="C504" s="103"/>
      <c r="D504" s="103"/>
      <c r="E504" s="103"/>
      <c r="F504" s="103"/>
      <c r="G504" s="103"/>
      <c r="H504" s="103"/>
      <c r="I504" s="103"/>
      <c r="J504" s="103"/>
    </row>
    <row r="505" spans="1:10" ht="12.75">
      <c r="A505" s="103"/>
      <c r="B505" s="103"/>
      <c r="C505" s="103"/>
      <c r="D505" s="103"/>
      <c r="E505" s="103"/>
      <c r="F505" s="103"/>
      <c r="G505" s="103"/>
      <c r="H505" s="103"/>
      <c r="I505" s="103"/>
      <c r="J505" s="103"/>
    </row>
    <row r="506" spans="1:10" ht="12.75">
      <c r="A506" s="103"/>
      <c r="B506" s="103"/>
      <c r="C506" s="103"/>
      <c r="D506" s="103"/>
      <c r="E506" s="103"/>
      <c r="F506" s="103"/>
      <c r="G506" s="103"/>
      <c r="H506" s="103"/>
      <c r="I506" s="103"/>
      <c r="J506" s="103"/>
    </row>
    <row r="507" spans="1:10" ht="12.75">
      <c r="A507" s="103"/>
      <c r="B507" s="103"/>
      <c r="C507" s="103"/>
      <c r="D507" s="103"/>
      <c r="E507" s="103"/>
      <c r="F507" s="103"/>
      <c r="G507" s="103"/>
      <c r="H507" s="103"/>
      <c r="I507" s="103"/>
      <c r="J507" s="103"/>
    </row>
    <row r="508" spans="1:10" ht="12.75">
      <c r="A508" s="103"/>
      <c r="B508" s="103"/>
      <c r="C508" s="103"/>
      <c r="D508" s="103"/>
      <c r="E508" s="103"/>
      <c r="F508" s="103"/>
      <c r="G508" s="103"/>
      <c r="H508" s="103"/>
      <c r="I508" s="103"/>
      <c r="J508" s="103"/>
    </row>
    <row r="509" spans="1:10" ht="12.75">
      <c r="A509" s="103"/>
      <c r="B509" s="103"/>
      <c r="C509" s="103"/>
      <c r="D509" s="103"/>
      <c r="E509" s="103"/>
      <c r="F509" s="103"/>
      <c r="G509" s="103"/>
      <c r="H509" s="103"/>
      <c r="I509" s="103"/>
      <c r="J509" s="103"/>
    </row>
    <row r="510" spans="1:10" ht="12.75">
      <c r="A510" s="103"/>
      <c r="B510" s="103"/>
      <c r="C510" s="103"/>
      <c r="D510" s="103"/>
      <c r="E510" s="103"/>
      <c r="F510" s="103"/>
      <c r="G510" s="103"/>
      <c r="H510" s="103"/>
      <c r="I510" s="103"/>
      <c r="J510" s="103"/>
    </row>
    <row r="511" spans="1:10" ht="12.75">
      <c r="A511" s="103"/>
      <c r="B511" s="103"/>
      <c r="C511" s="103"/>
      <c r="D511" s="103"/>
      <c r="E511" s="103"/>
      <c r="F511" s="103"/>
      <c r="G511" s="103"/>
      <c r="H511" s="103"/>
      <c r="I511" s="103"/>
      <c r="J511" s="103"/>
    </row>
    <row r="512" spans="1:10" ht="12.75">
      <c r="A512" s="103"/>
      <c r="B512" s="103"/>
      <c r="C512" s="103"/>
      <c r="D512" s="103"/>
      <c r="E512" s="103"/>
      <c r="F512" s="103"/>
      <c r="G512" s="103"/>
      <c r="H512" s="103"/>
      <c r="I512" s="103"/>
      <c r="J512" s="103"/>
    </row>
    <row r="513" spans="1:10" ht="12.75">
      <c r="A513" s="103"/>
      <c r="B513" s="103"/>
      <c r="C513" s="103"/>
      <c r="D513" s="103"/>
      <c r="E513" s="103"/>
      <c r="F513" s="103"/>
      <c r="G513" s="103"/>
      <c r="H513" s="103"/>
      <c r="I513" s="103"/>
      <c r="J513" s="103"/>
    </row>
    <row r="514" spans="1:10" ht="12.75">
      <c r="A514" s="103"/>
      <c r="B514" s="103"/>
      <c r="C514" s="103"/>
      <c r="D514" s="103"/>
      <c r="E514" s="103"/>
      <c r="F514" s="103"/>
      <c r="G514" s="103"/>
      <c r="H514" s="103"/>
      <c r="I514" s="103"/>
      <c r="J514" s="103"/>
    </row>
    <row r="515" spans="1:10" ht="12.75">
      <c r="A515" s="103"/>
      <c r="B515" s="103"/>
      <c r="C515" s="103"/>
      <c r="D515" s="103"/>
      <c r="E515" s="103"/>
      <c r="F515" s="103"/>
      <c r="G515" s="103"/>
      <c r="H515" s="103"/>
      <c r="I515" s="103"/>
      <c r="J515" s="103"/>
    </row>
    <row r="516" spans="1:10" ht="12.75">
      <c r="A516" s="103"/>
      <c r="B516" s="103"/>
      <c r="C516" s="103"/>
      <c r="D516" s="103"/>
      <c r="E516" s="103"/>
      <c r="F516" s="103"/>
      <c r="G516" s="103"/>
      <c r="H516" s="103"/>
      <c r="I516" s="103"/>
      <c r="J516" s="103"/>
    </row>
    <row r="517" spans="1:10" ht="12.75">
      <c r="A517" s="103"/>
      <c r="B517" s="103"/>
      <c r="C517" s="103"/>
      <c r="D517" s="103"/>
      <c r="E517" s="103"/>
      <c r="F517" s="103"/>
      <c r="G517" s="103"/>
      <c r="H517" s="103"/>
      <c r="I517" s="103"/>
      <c r="J517" s="103"/>
    </row>
    <row r="518" spans="1:10" ht="12.75">
      <c r="A518" s="103"/>
      <c r="B518" s="103"/>
      <c r="C518" s="103"/>
      <c r="D518" s="103"/>
      <c r="E518" s="103"/>
      <c r="F518" s="103"/>
      <c r="G518" s="103"/>
      <c r="H518" s="103"/>
      <c r="I518" s="103"/>
      <c r="J518" s="103"/>
    </row>
    <row r="519" spans="1:10" ht="12.75">
      <c r="A519" s="103"/>
      <c r="B519" s="103"/>
      <c r="C519" s="103"/>
      <c r="D519" s="103"/>
      <c r="E519" s="103"/>
      <c r="F519" s="103"/>
      <c r="G519" s="103"/>
      <c r="H519" s="103"/>
      <c r="I519" s="103"/>
      <c r="J519" s="103"/>
    </row>
    <row r="520" spans="1:10" ht="12.75">
      <c r="A520" s="103"/>
      <c r="B520" s="103"/>
      <c r="C520" s="103"/>
      <c r="D520" s="103"/>
      <c r="E520" s="103"/>
      <c r="F520" s="103"/>
      <c r="G520" s="103"/>
      <c r="H520" s="103"/>
      <c r="I520" s="103"/>
      <c r="J520" s="103"/>
    </row>
    <row r="521" spans="1:10" ht="12.75">
      <c r="A521" s="103"/>
      <c r="B521" s="103"/>
      <c r="C521" s="103"/>
      <c r="D521" s="103"/>
      <c r="E521" s="103"/>
      <c r="F521" s="103"/>
      <c r="G521" s="103"/>
      <c r="H521" s="103"/>
      <c r="I521" s="103"/>
      <c r="J521" s="103"/>
    </row>
    <row r="522" spans="1:10" ht="12.75">
      <c r="A522" s="103"/>
      <c r="B522" s="103"/>
      <c r="C522" s="103"/>
      <c r="D522" s="103"/>
      <c r="E522" s="103"/>
      <c r="F522" s="103"/>
      <c r="G522" s="103"/>
      <c r="H522" s="103"/>
      <c r="I522" s="103"/>
      <c r="J522" s="103"/>
    </row>
    <row r="523" spans="1:10" ht="12.75">
      <c r="A523" s="103"/>
      <c r="B523" s="103"/>
      <c r="C523" s="103"/>
      <c r="D523" s="103"/>
      <c r="E523" s="103"/>
      <c r="F523" s="103"/>
      <c r="G523" s="103"/>
      <c r="H523" s="103"/>
      <c r="I523" s="103"/>
      <c r="J523" s="103"/>
    </row>
    <row r="524" spans="1:10" ht="12.75">
      <c r="A524" s="103"/>
      <c r="B524" s="103"/>
      <c r="C524" s="103"/>
      <c r="D524" s="103"/>
      <c r="E524" s="103"/>
      <c r="F524" s="103"/>
      <c r="G524" s="103"/>
      <c r="H524" s="103"/>
      <c r="I524" s="103"/>
      <c r="J524" s="103"/>
    </row>
    <row r="525" spans="1:10" ht="12.75">
      <c r="A525" s="103"/>
      <c r="B525" s="103"/>
      <c r="C525" s="103"/>
      <c r="D525" s="103"/>
      <c r="E525" s="103"/>
      <c r="F525" s="103"/>
      <c r="G525" s="103"/>
      <c r="H525" s="103"/>
      <c r="I525" s="103"/>
      <c r="J525" s="103"/>
    </row>
    <row r="526" spans="1:10" ht="12.75">
      <c r="A526" s="103"/>
      <c r="B526" s="103"/>
      <c r="C526" s="103"/>
      <c r="D526" s="103"/>
      <c r="E526" s="103"/>
      <c r="F526" s="103"/>
      <c r="G526" s="103"/>
      <c r="H526" s="103"/>
      <c r="I526" s="103"/>
      <c r="J526" s="103"/>
    </row>
    <row r="527" spans="1:10" ht="12.75">
      <c r="A527" s="103"/>
      <c r="B527" s="103"/>
      <c r="C527" s="103"/>
      <c r="D527" s="103"/>
      <c r="E527" s="103"/>
      <c r="F527" s="103"/>
      <c r="G527" s="103"/>
      <c r="H527" s="103"/>
      <c r="I527" s="103"/>
      <c r="J527" s="103"/>
    </row>
    <row r="528" spans="1:10" ht="12.75">
      <c r="A528" s="103"/>
      <c r="B528" s="103"/>
      <c r="C528" s="103"/>
      <c r="D528" s="103"/>
      <c r="E528" s="103"/>
      <c r="F528" s="103"/>
      <c r="G528" s="103"/>
      <c r="H528" s="103"/>
      <c r="I528" s="103"/>
      <c r="J528" s="103"/>
    </row>
    <row r="529" spans="1:10" ht="12.75">
      <c r="A529" s="103"/>
      <c r="B529" s="103"/>
      <c r="C529" s="103"/>
      <c r="D529" s="103"/>
      <c r="E529" s="103"/>
      <c r="F529" s="103"/>
      <c r="G529" s="103"/>
      <c r="H529" s="103"/>
      <c r="I529" s="103"/>
      <c r="J529" s="103"/>
    </row>
    <row r="530" spans="1:10" ht="12.75">
      <c r="A530" s="103"/>
      <c r="B530" s="103"/>
      <c r="C530" s="103"/>
      <c r="D530" s="103"/>
      <c r="E530" s="103"/>
      <c r="F530" s="103"/>
      <c r="G530" s="103"/>
      <c r="H530" s="103"/>
      <c r="I530" s="103"/>
      <c r="J530" s="103"/>
    </row>
    <row r="531" spans="1:10" ht="12.75">
      <c r="A531" s="103"/>
      <c r="B531" s="103"/>
      <c r="C531" s="103"/>
      <c r="D531" s="103"/>
      <c r="E531" s="103"/>
      <c r="F531" s="103"/>
      <c r="G531" s="103"/>
      <c r="H531" s="103"/>
      <c r="I531" s="103"/>
      <c r="J531" s="103"/>
    </row>
    <row r="532" spans="1:10" ht="12.75">
      <c r="A532" s="103"/>
      <c r="B532" s="103"/>
      <c r="C532" s="103"/>
      <c r="D532" s="103"/>
      <c r="E532" s="103"/>
      <c r="F532" s="103"/>
      <c r="G532" s="103"/>
      <c r="H532" s="103"/>
      <c r="I532" s="103"/>
      <c r="J532" s="103"/>
    </row>
    <row r="533" spans="1:10" ht="12.75">
      <c r="A533" s="103"/>
      <c r="B533" s="103"/>
      <c r="C533" s="103"/>
      <c r="D533" s="103"/>
      <c r="E533" s="103"/>
      <c r="F533" s="103"/>
      <c r="G533" s="103"/>
      <c r="H533" s="103"/>
      <c r="I533" s="103"/>
      <c r="J533" s="103"/>
    </row>
    <row r="534" spans="1:10" ht="12.75">
      <c r="A534" s="103"/>
      <c r="B534" s="103"/>
      <c r="C534" s="103"/>
      <c r="D534" s="103"/>
      <c r="E534" s="103"/>
      <c r="F534" s="103"/>
      <c r="G534" s="103"/>
      <c r="H534" s="103"/>
      <c r="I534" s="103"/>
      <c r="J534" s="103"/>
    </row>
    <row r="535" spans="1:10" ht="12.75">
      <c r="A535" s="103"/>
      <c r="B535" s="103"/>
      <c r="C535" s="103"/>
      <c r="D535" s="103"/>
      <c r="E535" s="103"/>
      <c r="F535" s="103"/>
      <c r="G535" s="103"/>
      <c r="H535" s="103"/>
      <c r="I535" s="103"/>
      <c r="J535" s="103"/>
    </row>
    <row r="536" spans="1:10" ht="12.75">
      <c r="A536" s="103"/>
      <c r="B536" s="103"/>
      <c r="C536" s="103"/>
      <c r="D536" s="103"/>
      <c r="E536" s="103"/>
      <c r="F536" s="103"/>
      <c r="G536" s="103"/>
      <c r="H536" s="103"/>
      <c r="I536" s="103"/>
      <c r="J536" s="103"/>
    </row>
    <row r="537" spans="1:10" ht="12.75">
      <c r="A537" s="103"/>
      <c r="B537" s="103"/>
      <c r="C537" s="103"/>
      <c r="D537" s="103"/>
      <c r="E537" s="103"/>
      <c r="F537" s="103"/>
      <c r="G537" s="103"/>
      <c r="H537" s="103"/>
      <c r="I537" s="103"/>
      <c r="J537" s="103"/>
    </row>
    <row r="538" spans="1:10" ht="12.75">
      <c r="A538" s="103"/>
      <c r="B538" s="103"/>
      <c r="C538" s="103"/>
      <c r="D538" s="103"/>
      <c r="E538" s="103"/>
      <c r="F538" s="103"/>
      <c r="G538" s="103"/>
      <c r="H538" s="103"/>
      <c r="I538" s="103"/>
      <c r="J538" s="103"/>
    </row>
    <row r="539" spans="1:10" ht="12.75">
      <c r="A539" s="103"/>
      <c r="B539" s="103"/>
      <c r="C539" s="103"/>
      <c r="D539" s="103"/>
      <c r="E539" s="103"/>
      <c r="F539" s="103"/>
      <c r="G539" s="103"/>
      <c r="H539" s="103"/>
      <c r="I539" s="103"/>
      <c r="J539" s="103"/>
    </row>
    <row r="540" spans="1:10" ht="12.75">
      <c r="A540" s="103"/>
      <c r="B540" s="103"/>
      <c r="C540" s="103"/>
      <c r="D540" s="103"/>
      <c r="E540" s="103"/>
      <c r="F540" s="103"/>
      <c r="G540" s="103"/>
      <c r="H540" s="103"/>
      <c r="I540" s="103"/>
      <c r="J540" s="103"/>
    </row>
    <row r="541" spans="1:10" ht="12.75">
      <c r="A541" s="103"/>
      <c r="B541" s="103"/>
      <c r="C541" s="103"/>
      <c r="D541" s="103"/>
      <c r="E541" s="103"/>
      <c r="F541" s="103"/>
      <c r="G541" s="103"/>
      <c r="H541" s="103"/>
      <c r="I541" s="103"/>
      <c r="J541" s="103"/>
    </row>
    <row r="542" spans="1:10" ht="12.75">
      <c r="A542" s="103"/>
      <c r="B542" s="103"/>
      <c r="C542" s="103"/>
      <c r="D542" s="103"/>
      <c r="E542" s="103"/>
      <c r="F542" s="103"/>
      <c r="G542" s="103"/>
      <c r="H542" s="103"/>
      <c r="I542" s="103"/>
      <c r="J542" s="103"/>
    </row>
    <row r="543" spans="1:10" ht="12.75">
      <c r="A543" s="103"/>
      <c r="B543" s="103"/>
      <c r="C543" s="103"/>
      <c r="D543" s="103"/>
      <c r="E543" s="103"/>
      <c r="F543" s="103"/>
      <c r="G543" s="103"/>
      <c r="H543" s="103"/>
      <c r="I543" s="103"/>
      <c r="J543" s="103"/>
    </row>
    <row r="544" spans="1:10" ht="12.75">
      <c r="A544" s="103"/>
      <c r="B544" s="103"/>
      <c r="C544" s="103"/>
      <c r="D544" s="103"/>
      <c r="E544" s="103"/>
      <c r="F544" s="103"/>
      <c r="G544" s="103"/>
      <c r="H544" s="103"/>
      <c r="I544" s="103"/>
      <c r="J544" s="103"/>
    </row>
    <row r="545" spans="1:10" ht="12.75">
      <c r="A545" s="103"/>
      <c r="B545" s="103"/>
      <c r="C545" s="103"/>
      <c r="D545" s="103"/>
      <c r="E545" s="103"/>
      <c r="F545" s="103"/>
      <c r="G545" s="103"/>
      <c r="H545" s="103"/>
      <c r="I545" s="103"/>
      <c r="J545" s="103"/>
    </row>
    <row r="546" spans="1:10" ht="12.75">
      <c r="A546" s="103"/>
      <c r="B546" s="103"/>
      <c r="C546" s="103"/>
      <c r="D546" s="103"/>
      <c r="E546" s="103"/>
      <c r="F546" s="103"/>
      <c r="G546" s="103"/>
      <c r="H546" s="103"/>
      <c r="I546" s="103"/>
      <c r="J546" s="103"/>
    </row>
    <row r="547" spans="1:10" ht="12.75">
      <c r="A547" s="103"/>
      <c r="B547" s="103"/>
      <c r="C547" s="103"/>
      <c r="D547" s="103"/>
      <c r="E547" s="103"/>
      <c r="F547" s="103"/>
      <c r="G547" s="103"/>
      <c r="H547" s="103"/>
      <c r="I547" s="103"/>
      <c r="J547" s="103"/>
    </row>
    <row r="548" spans="1:10" ht="12.75">
      <c r="A548" s="103"/>
      <c r="B548" s="103"/>
      <c r="C548" s="103"/>
      <c r="D548" s="103"/>
      <c r="E548" s="103"/>
      <c r="F548" s="103"/>
      <c r="G548" s="103"/>
      <c r="H548" s="103"/>
      <c r="I548" s="103"/>
      <c r="J548" s="103"/>
    </row>
    <row r="549" spans="1:10" ht="12.75">
      <c r="A549" s="103"/>
      <c r="B549" s="103"/>
      <c r="C549" s="103"/>
      <c r="D549" s="103"/>
      <c r="E549" s="103"/>
      <c r="F549" s="103"/>
      <c r="G549" s="103"/>
      <c r="H549" s="103"/>
      <c r="I549" s="103"/>
      <c r="J549" s="103"/>
    </row>
    <row r="550" spans="1:10" ht="12.75">
      <c r="A550" s="103"/>
      <c r="B550" s="103"/>
      <c r="C550" s="103"/>
      <c r="D550" s="103"/>
      <c r="E550" s="103"/>
      <c r="F550" s="103"/>
      <c r="G550" s="103"/>
      <c r="H550" s="103"/>
      <c r="I550" s="103"/>
      <c r="J550" s="103"/>
    </row>
    <row r="551" spans="1:10" ht="12.75">
      <c r="A551" s="103"/>
      <c r="B551" s="103"/>
      <c r="C551" s="103"/>
      <c r="D551" s="103"/>
      <c r="E551" s="103"/>
      <c r="F551" s="103"/>
      <c r="G551" s="103"/>
      <c r="H551" s="103"/>
      <c r="I551" s="103"/>
      <c r="J551" s="103"/>
    </row>
    <row r="552" spans="1:10" ht="12.75">
      <c r="A552" s="103"/>
      <c r="B552" s="103"/>
      <c r="C552" s="103"/>
      <c r="D552" s="103"/>
      <c r="E552" s="103"/>
      <c r="F552" s="103"/>
      <c r="G552" s="103"/>
      <c r="H552" s="103"/>
      <c r="I552" s="103"/>
      <c r="J552" s="103"/>
    </row>
    <row r="553" spans="1:10" ht="12.75">
      <c r="A553" s="103"/>
      <c r="B553" s="103"/>
      <c r="C553" s="103"/>
      <c r="D553" s="103"/>
      <c r="E553" s="103"/>
      <c r="F553" s="103"/>
      <c r="G553" s="103"/>
      <c r="H553" s="103"/>
      <c r="I553" s="103"/>
      <c r="J553" s="103"/>
    </row>
    <row r="554" spans="1:10" ht="12.75">
      <c r="A554" s="103"/>
      <c r="B554" s="103"/>
      <c r="C554" s="103"/>
      <c r="D554" s="103"/>
      <c r="E554" s="103"/>
      <c r="F554" s="103"/>
      <c r="G554" s="103"/>
      <c r="H554" s="103"/>
      <c r="I554" s="103"/>
      <c r="J554" s="103"/>
    </row>
    <row r="555" spans="1:10" ht="12.75">
      <c r="A555" s="103"/>
      <c r="B555" s="103"/>
      <c r="C555" s="103"/>
      <c r="D555" s="103"/>
      <c r="E555" s="103"/>
      <c r="F555" s="103"/>
      <c r="G555" s="103"/>
      <c r="H555" s="103"/>
      <c r="I555" s="103"/>
      <c r="J555" s="103"/>
    </row>
    <row r="556" spans="1:10" ht="12.75">
      <c r="A556" s="103"/>
      <c r="B556" s="103"/>
      <c r="C556" s="103"/>
      <c r="D556" s="103"/>
      <c r="E556" s="103"/>
      <c r="F556" s="103"/>
      <c r="G556" s="103"/>
      <c r="H556" s="103"/>
      <c r="I556" s="103"/>
      <c r="J556" s="103"/>
    </row>
    <row r="557" spans="1:10" ht="12.75">
      <c r="A557" s="103"/>
      <c r="B557" s="103"/>
      <c r="C557" s="103"/>
      <c r="D557" s="103"/>
      <c r="E557" s="103"/>
      <c r="F557" s="103"/>
      <c r="G557" s="103"/>
      <c r="H557" s="103"/>
      <c r="I557" s="103"/>
      <c r="J557" s="103"/>
    </row>
    <row r="558" spans="1:10" ht="12.75">
      <c r="A558" s="103"/>
      <c r="B558" s="103"/>
      <c r="C558" s="103"/>
      <c r="D558" s="103"/>
      <c r="E558" s="103"/>
      <c r="F558" s="103"/>
      <c r="G558" s="103"/>
      <c r="H558" s="103"/>
      <c r="I558" s="103"/>
      <c r="J558" s="103"/>
    </row>
    <row r="559" spans="1:10" ht="12.75">
      <c r="A559" s="103"/>
      <c r="B559" s="103"/>
      <c r="C559" s="103"/>
      <c r="D559" s="103"/>
      <c r="E559" s="103"/>
      <c r="F559" s="103"/>
      <c r="G559" s="103"/>
      <c r="H559" s="103"/>
      <c r="I559" s="103"/>
      <c r="J559" s="103"/>
    </row>
    <row r="560" spans="1:10" ht="12.75">
      <c r="A560" s="103"/>
      <c r="B560" s="103"/>
      <c r="C560" s="103"/>
      <c r="D560" s="103"/>
      <c r="E560" s="103"/>
      <c r="F560" s="103"/>
      <c r="G560" s="103"/>
      <c r="H560" s="103"/>
      <c r="I560" s="103"/>
      <c r="J560" s="103"/>
    </row>
    <row r="561" spans="1:10" ht="12.75">
      <c r="A561" s="103"/>
      <c r="B561" s="103"/>
      <c r="C561" s="103"/>
      <c r="D561" s="103"/>
      <c r="E561" s="103"/>
      <c r="F561" s="103"/>
      <c r="G561" s="103"/>
      <c r="H561" s="103"/>
      <c r="I561" s="103"/>
      <c r="J561" s="103"/>
    </row>
    <row r="562" spans="1:10" ht="12.75">
      <c r="A562" s="103"/>
      <c r="B562" s="103"/>
      <c r="C562" s="103"/>
      <c r="D562" s="103"/>
      <c r="E562" s="103"/>
      <c r="F562" s="103"/>
      <c r="G562" s="103"/>
      <c r="H562" s="103"/>
      <c r="I562" s="103"/>
      <c r="J562" s="103"/>
    </row>
    <row r="563" spans="1:10" ht="12.75">
      <c r="A563" s="103"/>
      <c r="B563" s="103"/>
      <c r="C563" s="103"/>
      <c r="D563" s="103"/>
      <c r="E563" s="103"/>
      <c r="F563" s="103"/>
      <c r="G563" s="103"/>
      <c r="H563" s="103"/>
      <c r="I563" s="103"/>
      <c r="J563" s="103"/>
    </row>
    <row r="564" spans="1:10" ht="12.75">
      <c r="A564" s="103"/>
      <c r="B564" s="103"/>
      <c r="C564" s="103"/>
      <c r="D564" s="103"/>
      <c r="E564" s="103"/>
      <c r="F564" s="103"/>
      <c r="G564" s="103"/>
      <c r="H564" s="103"/>
      <c r="I564" s="103"/>
      <c r="J564" s="103"/>
    </row>
    <row r="565" spans="1:10" ht="12.75">
      <c r="A565" s="103"/>
      <c r="B565" s="103"/>
      <c r="C565" s="103"/>
      <c r="D565" s="103"/>
      <c r="E565" s="103"/>
      <c r="F565" s="103"/>
      <c r="G565" s="103"/>
      <c r="H565" s="103"/>
      <c r="I565" s="103"/>
      <c r="J565" s="103"/>
    </row>
    <row r="566" spans="1:10" ht="12.75">
      <c r="A566" s="103"/>
      <c r="B566" s="103"/>
      <c r="C566" s="103"/>
      <c r="D566" s="103"/>
      <c r="E566" s="103"/>
      <c r="F566" s="103"/>
      <c r="G566" s="103"/>
      <c r="H566" s="103"/>
      <c r="I566" s="103"/>
      <c r="J566" s="103"/>
    </row>
    <row r="567" spans="1:10" ht="12.75">
      <c r="A567" s="103"/>
      <c r="B567" s="103"/>
      <c r="C567" s="103"/>
      <c r="D567" s="103"/>
      <c r="E567" s="103"/>
      <c r="F567" s="103"/>
      <c r="G567" s="103"/>
      <c r="H567" s="103"/>
      <c r="I567" s="103"/>
      <c r="J567" s="103"/>
    </row>
    <row r="568" spans="1:10" ht="12.75">
      <c r="A568" s="103"/>
      <c r="B568" s="103"/>
      <c r="C568" s="103"/>
      <c r="D568" s="103"/>
      <c r="E568" s="103"/>
      <c r="F568" s="103"/>
      <c r="G568" s="103"/>
      <c r="H568" s="103"/>
      <c r="I568" s="103"/>
      <c r="J568" s="103"/>
    </row>
    <row r="569" spans="1:10" ht="12.75">
      <c r="A569" s="103"/>
      <c r="B569" s="103"/>
      <c r="C569" s="103"/>
      <c r="D569" s="103"/>
      <c r="E569" s="103"/>
      <c r="F569" s="103"/>
      <c r="G569" s="103"/>
      <c r="H569" s="103"/>
      <c r="I569" s="103"/>
      <c r="J569" s="103"/>
    </row>
    <row r="570" spans="1:10" ht="12.75">
      <c r="A570" s="103"/>
      <c r="B570" s="103"/>
      <c r="C570" s="103"/>
      <c r="D570" s="103"/>
      <c r="E570" s="103"/>
      <c r="F570" s="103"/>
      <c r="G570" s="103"/>
      <c r="H570" s="103"/>
      <c r="I570" s="103"/>
      <c r="J570" s="103"/>
    </row>
    <row r="571" spans="1:10" ht="12.75">
      <c r="A571" s="103"/>
      <c r="B571" s="103"/>
      <c r="C571" s="103"/>
      <c r="D571" s="103"/>
      <c r="E571" s="103"/>
      <c r="F571" s="103"/>
      <c r="G571" s="103"/>
      <c r="H571" s="103"/>
      <c r="I571" s="103"/>
      <c r="J571" s="103"/>
    </row>
    <row r="572" spans="1:10" ht="12.75">
      <c r="A572" s="103"/>
      <c r="B572" s="103"/>
      <c r="C572" s="103"/>
      <c r="D572" s="103"/>
      <c r="E572" s="103"/>
      <c r="F572" s="103"/>
      <c r="G572" s="103"/>
      <c r="H572" s="103"/>
      <c r="I572" s="103"/>
      <c r="J572" s="103"/>
    </row>
    <row r="573" spans="1:10" ht="12.75">
      <c r="A573" s="103"/>
      <c r="B573" s="103"/>
      <c r="C573" s="103"/>
      <c r="D573" s="103"/>
      <c r="E573" s="103"/>
      <c r="F573" s="103"/>
      <c r="G573" s="103"/>
      <c r="H573" s="103"/>
      <c r="I573" s="103"/>
      <c r="J573" s="103"/>
    </row>
    <row r="574" spans="1:10" ht="12.75">
      <c r="A574" s="103"/>
      <c r="B574" s="103"/>
      <c r="C574" s="103"/>
      <c r="D574" s="103"/>
      <c r="E574" s="103"/>
      <c r="F574" s="103"/>
      <c r="G574" s="103"/>
      <c r="H574" s="103"/>
      <c r="I574" s="103"/>
      <c r="J574" s="103"/>
    </row>
    <row r="575" spans="1:10" ht="12.75">
      <c r="A575" s="103"/>
      <c r="B575" s="103"/>
      <c r="C575" s="103"/>
      <c r="D575" s="103"/>
      <c r="E575" s="103"/>
      <c r="F575" s="103"/>
      <c r="G575" s="103"/>
      <c r="H575" s="103"/>
      <c r="I575" s="103"/>
      <c r="J575" s="103"/>
    </row>
    <row r="576" spans="1:10" ht="12.75">
      <c r="A576" s="103"/>
      <c r="B576" s="103"/>
      <c r="C576" s="103"/>
      <c r="D576" s="103"/>
      <c r="E576" s="103"/>
      <c r="F576" s="103"/>
      <c r="G576" s="103"/>
      <c r="H576" s="103"/>
      <c r="I576" s="103"/>
      <c r="J576" s="103"/>
    </row>
    <row r="577" spans="1:10" ht="12.75">
      <c r="A577" s="103"/>
      <c r="B577" s="103"/>
      <c r="C577" s="103"/>
      <c r="D577" s="103"/>
      <c r="E577" s="103"/>
      <c r="F577" s="103"/>
      <c r="G577" s="103"/>
      <c r="H577" s="103"/>
      <c r="I577" s="103"/>
      <c r="J577" s="103"/>
    </row>
    <row r="578" spans="1:10" ht="12.75">
      <c r="A578" s="103"/>
      <c r="B578" s="103"/>
      <c r="C578" s="103"/>
      <c r="D578" s="103"/>
      <c r="E578" s="103"/>
      <c r="F578" s="103"/>
      <c r="G578" s="103"/>
      <c r="H578" s="103"/>
      <c r="I578" s="103"/>
      <c r="J578" s="103"/>
    </row>
    <row r="579" spans="1:10" ht="12.75">
      <c r="A579" s="103"/>
      <c r="B579" s="103"/>
      <c r="C579" s="103"/>
      <c r="D579" s="103"/>
      <c r="E579" s="103"/>
      <c r="F579" s="103"/>
      <c r="G579" s="103"/>
      <c r="H579" s="103"/>
      <c r="I579" s="103"/>
      <c r="J579" s="103"/>
    </row>
    <row r="580" spans="1:10" ht="12.75">
      <c r="A580" s="103"/>
      <c r="B580" s="103"/>
      <c r="C580" s="103"/>
      <c r="D580" s="103"/>
      <c r="E580" s="103"/>
      <c r="F580" s="103"/>
      <c r="G580" s="103"/>
      <c r="H580" s="103"/>
      <c r="I580" s="103"/>
      <c r="J580" s="103"/>
    </row>
    <row r="581" spans="1:10" ht="12.75">
      <c r="A581" s="103"/>
      <c r="B581" s="103"/>
      <c r="C581" s="103"/>
      <c r="D581" s="103"/>
      <c r="E581" s="103"/>
      <c r="F581" s="103"/>
      <c r="G581" s="103"/>
      <c r="H581" s="103"/>
      <c r="I581" s="103"/>
      <c r="J581" s="103"/>
    </row>
    <row r="582" spans="1:10" ht="12.75">
      <c r="A582" s="103"/>
      <c r="B582" s="103"/>
      <c r="C582" s="103"/>
      <c r="D582" s="103"/>
      <c r="E582" s="103"/>
      <c r="F582" s="103"/>
      <c r="G582" s="103"/>
      <c r="H582" s="103"/>
      <c r="I582" s="103"/>
      <c r="J582" s="103"/>
    </row>
    <row r="583" spans="1:10" ht="12.75">
      <c r="A583" s="103"/>
      <c r="B583" s="103"/>
      <c r="C583" s="103"/>
      <c r="D583" s="103"/>
      <c r="E583" s="103"/>
      <c r="F583" s="103"/>
      <c r="G583" s="103"/>
      <c r="H583" s="103"/>
      <c r="I583" s="103"/>
      <c r="J583" s="103"/>
    </row>
    <row r="584" spans="1:10" ht="12.75">
      <c r="A584" s="103"/>
      <c r="B584" s="103"/>
      <c r="C584" s="103"/>
      <c r="D584" s="103"/>
      <c r="E584" s="103"/>
      <c r="F584" s="103"/>
      <c r="G584" s="103"/>
      <c r="H584" s="103"/>
      <c r="I584" s="103"/>
      <c r="J584" s="103"/>
    </row>
    <row r="585" spans="1:10" ht="12.75">
      <c r="A585" s="103"/>
      <c r="B585" s="103"/>
      <c r="C585" s="103"/>
      <c r="D585" s="103"/>
      <c r="E585" s="103"/>
      <c r="F585" s="103"/>
      <c r="G585" s="103"/>
      <c r="H585" s="103"/>
      <c r="I585" s="103"/>
      <c r="J585" s="103"/>
    </row>
    <row r="586" spans="1:10" ht="12.75">
      <c r="A586" s="103"/>
      <c r="B586" s="103"/>
      <c r="C586" s="103"/>
      <c r="D586" s="103"/>
      <c r="E586" s="103"/>
      <c r="F586" s="103"/>
      <c r="G586" s="103"/>
      <c r="H586" s="103"/>
      <c r="I586" s="103"/>
      <c r="J586" s="103"/>
    </row>
    <row r="587" spans="1:10" ht="12.75">
      <c r="A587" s="103"/>
      <c r="B587" s="103"/>
      <c r="C587" s="103"/>
      <c r="D587" s="103"/>
      <c r="E587" s="103"/>
      <c r="F587" s="103"/>
      <c r="G587" s="103"/>
      <c r="H587" s="103"/>
      <c r="I587" s="103"/>
      <c r="J587" s="103"/>
    </row>
    <row r="588" spans="1:10" ht="12.75">
      <c r="A588" s="103"/>
      <c r="B588" s="103"/>
      <c r="C588" s="103"/>
      <c r="D588" s="103"/>
      <c r="E588" s="103"/>
      <c r="F588" s="103"/>
      <c r="G588" s="103"/>
      <c r="H588" s="103"/>
      <c r="I588" s="103"/>
      <c r="J588" s="103"/>
    </row>
    <row r="589" spans="1:10" ht="12.75">
      <c r="A589" s="103"/>
      <c r="B589" s="103"/>
      <c r="C589" s="103"/>
      <c r="D589" s="103"/>
      <c r="E589" s="103"/>
      <c r="F589" s="103"/>
      <c r="G589" s="103"/>
      <c r="H589" s="103"/>
      <c r="I589" s="103"/>
      <c r="J589" s="103"/>
    </row>
    <row r="590" spans="1:10" ht="12.75">
      <c r="A590" s="103"/>
      <c r="B590" s="103"/>
      <c r="C590" s="103"/>
      <c r="D590" s="103"/>
      <c r="E590" s="103"/>
      <c r="F590" s="103"/>
      <c r="G590" s="103"/>
      <c r="H590" s="103"/>
      <c r="I590" s="103"/>
      <c r="J590" s="103"/>
    </row>
    <row r="591" spans="1:10" ht="12.75">
      <c r="A591" s="103"/>
      <c r="B591" s="103"/>
      <c r="C591" s="103"/>
      <c r="D591" s="103"/>
      <c r="E591" s="103"/>
      <c r="F591" s="103"/>
      <c r="G591" s="103"/>
      <c r="H591" s="103"/>
      <c r="I591" s="103"/>
      <c r="J591" s="103"/>
    </row>
    <row r="592" spans="1:10" ht="12.75">
      <c r="A592" s="103"/>
      <c r="B592" s="103"/>
      <c r="C592" s="103"/>
      <c r="D592" s="103"/>
      <c r="E592" s="103"/>
      <c r="F592" s="103"/>
      <c r="G592" s="103"/>
      <c r="H592" s="103"/>
      <c r="I592" s="103"/>
      <c r="J592" s="103"/>
    </row>
    <row r="593" spans="1:10" ht="12.75">
      <c r="A593" s="103"/>
      <c r="B593" s="103"/>
      <c r="C593" s="103"/>
      <c r="D593" s="103"/>
      <c r="E593" s="103"/>
      <c r="F593" s="103"/>
      <c r="G593" s="103"/>
      <c r="H593" s="103"/>
      <c r="I593" s="103"/>
      <c r="J593" s="103"/>
    </row>
    <row r="594" spans="1:10" ht="12.75">
      <c r="A594" s="103"/>
      <c r="B594" s="103"/>
      <c r="C594" s="103"/>
      <c r="D594" s="103"/>
      <c r="E594" s="103"/>
      <c r="F594" s="103"/>
      <c r="G594" s="103"/>
      <c r="H594" s="103"/>
      <c r="I594" s="103"/>
      <c r="J594" s="103"/>
    </row>
    <row r="595" spans="1:10" ht="12.75">
      <c r="A595" s="103"/>
      <c r="B595" s="103"/>
      <c r="C595" s="103"/>
      <c r="D595" s="103"/>
      <c r="E595" s="103"/>
      <c r="F595" s="103"/>
      <c r="G595" s="103"/>
      <c r="H595" s="103"/>
      <c r="I595" s="103"/>
      <c r="J595" s="103"/>
    </row>
    <row r="596" spans="1:10" ht="12.75">
      <c r="A596" s="103"/>
      <c r="B596" s="103"/>
      <c r="C596" s="103"/>
      <c r="D596" s="103"/>
      <c r="E596" s="103"/>
      <c r="F596" s="103"/>
      <c r="G596" s="103"/>
      <c r="H596" s="103"/>
      <c r="I596" s="103"/>
      <c r="J596" s="103"/>
    </row>
    <row r="597" spans="1:10" ht="12.75">
      <c r="A597" s="103"/>
      <c r="B597" s="103"/>
      <c r="C597" s="103"/>
      <c r="D597" s="103"/>
      <c r="E597" s="103"/>
      <c r="F597" s="103"/>
      <c r="G597" s="103"/>
      <c r="H597" s="103"/>
      <c r="I597" s="103"/>
      <c r="J597" s="103"/>
    </row>
    <row r="598" spans="1:10" ht="12.75">
      <c r="A598" s="103"/>
      <c r="B598" s="103"/>
      <c r="C598" s="103"/>
      <c r="D598" s="103"/>
      <c r="E598" s="103"/>
      <c r="F598" s="103"/>
      <c r="G598" s="103"/>
      <c r="H598" s="103"/>
      <c r="I598" s="103"/>
      <c r="J598" s="103"/>
    </row>
    <row r="599" spans="1:7" ht="12.75">
      <c r="A599" s="103"/>
      <c r="B599" s="103"/>
      <c r="C599" s="103"/>
      <c r="D599" s="103"/>
      <c r="E599" s="103"/>
      <c r="F599" s="103"/>
      <c r="G599" s="103"/>
    </row>
    <row r="600" spans="1:7" ht="12.75">
      <c r="A600" s="103"/>
      <c r="B600" s="103"/>
      <c r="C600" s="103"/>
      <c r="D600" s="103"/>
      <c r="E600" s="103"/>
      <c r="F600" s="103"/>
      <c r="G600" s="103"/>
    </row>
    <row r="601" spans="1:7" ht="12.75">
      <c r="A601" s="103"/>
      <c r="B601" s="103"/>
      <c r="C601" s="103"/>
      <c r="D601" s="103"/>
      <c r="E601" s="103"/>
      <c r="F601" s="103"/>
      <c r="G601" s="103"/>
    </row>
    <row r="602" spans="1:7" ht="12.75">
      <c r="A602" s="103"/>
      <c r="B602" s="103"/>
      <c r="C602" s="103"/>
      <c r="D602" s="103"/>
      <c r="E602" s="103"/>
      <c r="F602" s="103"/>
      <c r="G602" s="103"/>
    </row>
    <row r="603" spans="1:7" ht="12.75">
      <c r="A603" s="103"/>
      <c r="B603" s="103"/>
      <c r="C603" s="103"/>
      <c r="D603" s="103"/>
      <c r="E603" s="103"/>
      <c r="F603" s="103"/>
      <c r="G603" s="103"/>
    </row>
    <row r="604" spans="1:7" ht="12.75">
      <c r="A604" s="103"/>
      <c r="B604" s="103"/>
      <c r="C604" s="103"/>
      <c r="D604" s="103"/>
      <c r="E604" s="103"/>
      <c r="F604" s="103"/>
      <c r="G604" s="103"/>
    </row>
    <row r="605" spans="1:7" ht="12.75">
      <c r="A605" s="103"/>
      <c r="B605" s="103"/>
      <c r="C605" s="103"/>
      <c r="D605" s="103"/>
      <c r="E605" s="103"/>
      <c r="F605" s="103"/>
      <c r="G605" s="103"/>
    </row>
    <row r="606" spans="1:7" ht="12.75">
      <c r="A606" s="103"/>
      <c r="B606" s="103"/>
      <c r="C606" s="103"/>
      <c r="D606" s="103"/>
      <c r="E606" s="103"/>
      <c r="F606" s="103"/>
      <c r="G606" s="103"/>
    </row>
    <row r="1238" ht="12.75">
      <c r="BY1238" s="87"/>
    </row>
  </sheetData>
  <printOptions/>
  <pageMargins left="0.75" right="0.75" top="1" bottom="1" header="0.5" footer="0.5"/>
  <pageSetup horizontalDpi="600" verticalDpi="600" orientation="portrait" r:id="rId19"/>
  <legacyDrawing r:id="rId18"/>
  <oleObjects>
    <oleObject progId="Equation.3" shapeId="182612126" r:id="rId1"/>
    <oleObject progId="Equation.3" shapeId="879079" r:id="rId2"/>
    <oleObject progId="Equation.3" shapeId="879080" r:id="rId3"/>
    <oleObject progId="Equation.3" shapeId="879081" r:id="rId4"/>
    <oleObject progId="Equation.3" shapeId="879083" r:id="rId5"/>
    <oleObject progId="Equation.3" shapeId="879085" r:id="rId6"/>
    <oleObject progId="Equation.3" shapeId="879086" r:id="rId7"/>
    <oleObject progId="Equation.3" shapeId="879075" r:id="rId8"/>
    <oleObject progId="Equation.3" shapeId="879077" r:id="rId9"/>
    <oleObject progId="Equation.3" shapeId="76020" r:id="rId10"/>
    <oleObject progId="Equation.3" shapeId="96822" r:id="rId11"/>
    <oleObject progId="Equation.3" shapeId="112897" r:id="rId12"/>
    <oleObject progId="Equation.3" shapeId="130704" r:id="rId13"/>
    <oleObject progId="Equation.3" shapeId="158575" r:id="rId14"/>
    <oleObject progId="Equation.3" shapeId="158576" r:id="rId15"/>
    <oleObject progId="Equation.3" shapeId="217613" r:id="rId16"/>
    <oleObject progId="Equation.3" shapeId="9248738" r:id="rId17"/>
  </oleObjects>
</worksheet>
</file>

<file path=xl/worksheets/sheet2.xml><?xml version="1.0" encoding="utf-8"?>
<worksheet xmlns="http://schemas.openxmlformats.org/spreadsheetml/2006/main" xmlns:r="http://schemas.openxmlformats.org/officeDocument/2006/relationships">
  <sheetPr codeName="Sheet2"/>
  <dimension ref="A1:AA125"/>
  <sheetViews>
    <sheetView zoomScale="75" zoomScaleNormal="75" workbookViewId="0" topLeftCell="A1">
      <selection activeCell="J80" sqref="J80:J122"/>
    </sheetView>
  </sheetViews>
  <sheetFormatPr defaultColWidth="9.140625" defaultRowHeight="12.75"/>
  <cols>
    <col min="1" max="1" width="25.421875" style="103" customWidth="1"/>
    <col min="2" max="2" width="15.28125" style="103" customWidth="1"/>
    <col min="3" max="3" width="14.140625" style="103" customWidth="1"/>
    <col min="4" max="4" width="15.140625" style="103" customWidth="1"/>
    <col min="5" max="5" width="17.421875" style="103" bestFit="1" customWidth="1"/>
    <col min="6" max="6" width="9.140625" style="103" customWidth="1"/>
    <col min="7" max="7" width="12.421875" style="103" customWidth="1"/>
    <col min="8" max="8" width="16.57421875" style="103" customWidth="1"/>
    <col min="9" max="9" width="9.8515625" style="103" customWidth="1"/>
    <col min="10" max="10" width="12.140625" style="103" hidden="1" customWidth="1"/>
    <col min="11" max="11" width="9.00390625" style="103" customWidth="1"/>
    <col min="12" max="12" width="12.140625" style="103" bestFit="1" customWidth="1"/>
    <col min="13" max="13" width="9.00390625" style="103" customWidth="1"/>
    <col min="14" max="14" width="9.28125" style="103" customWidth="1"/>
    <col min="15" max="15" width="9.00390625" style="103" customWidth="1"/>
    <col min="16" max="16" width="15.28125" style="103" customWidth="1"/>
    <col min="17" max="17" width="18.421875" style="103" customWidth="1"/>
    <col min="18" max="18" width="14.00390625" style="103" customWidth="1"/>
    <col min="19" max="19" width="14.140625" style="103" customWidth="1"/>
    <col min="20" max="21" width="9.140625" style="103" customWidth="1"/>
    <col min="22" max="22" width="8.8515625" style="103" customWidth="1"/>
    <col min="23" max="65" width="9.140625" style="103" customWidth="1"/>
  </cols>
  <sheetData>
    <row r="1" ht="15.75">
      <c r="A1" s="385" t="s">
        <v>255</v>
      </c>
    </row>
    <row r="3" ht="12.75">
      <c r="I3" s="166" t="s">
        <v>457</v>
      </c>
    </row>
    <row r="4" ht="15.75">
      <c r="A4" s="138" t="s">
        <v>314</v>
      </c>
    </row>
    <row r="5" spans="9:17" ht="13.5" thickBot="1">
      <c r="I5" s="273" t="s">
        <v>433</v>
      </c>
      <c r="P5" s="8"/>
      <c r="Q5" s="8"/>
    </row>
    <row r="6" spans="1:17" ht="13.5" thickBot="1">
      <c r="A6" s="357" t="s">
        <v>444</v>
      </c>
      <c r="B6" s="259"/>
      <c r="C6" s="259"/>
      <c r="I6" s="217" t="s">
        <v>263</v>
      </c>
      <c r="K6" s="146" t="s">
        <v>161</v>
      </c>
      <c r="L6" s="144"/>
      <c r="M6" s="144"/>
      <c r="N6" s="147"/>
      <c r="P6" s="8"/>
      <c r="Q6" s="8"/>
    </row>
    <row r="7" spans="9:17" ht="13.5" thickBot="1">
      <c r="I7" s="219"/>
      <c r="K7" s="148" t="s">
        <v>317</v>
      </c>
      <c r="L7" s="148" t="s">
        <v>449</v>
      </c>
      <c r="M7" s="149" t="s">
        <v>108</v>
      </c>
      <c r="N7" s="150" t="s">
        <v>440</v>
      </c>
      <c r="P7" s="146" t="s">
        <v>441</v>
      </c>
      <c r="Q7" s="147"/>
    </row>
    <row r="8" spans="9:20" ht="13.5" thickBot="1">
      <c r="I8" s="155" t="s">
        <v>106</v>
      </c>
      <c r="J8" s="144" t="s">
        <v>261</v>
      </c>
      <c r="K8" s="151" t="s">
        <v>109</v>
      </c>
      <c r="L8" s="9" t="s">
        <v>109</v>
      </c>
      <c r="M8" s="152" t="s">
        <v>109</v>
      </c>
      <c r="N8" s="153" t="s">
        <v>316</v>
      </c>
      <c r="O8" s="154" t="s">
        <v>262</v>
      </c>
      <c r="P8" s="146" t="s">
        <v>193</v>
      </c>
      <c r="Q8" s="155" t="s">
        <v>194</v>
      </c>
      <c r="S8"/>
      <c r="T8"/>
    </row>
    <row r="9" spans="9:20" ht="12.75">
      <c r="I9" s="93" t="s">
        <v>364</v>
      </c>
      <c r="J9" s="142">
        <f>1-J80</f>
        <v>0.77</v>
      </c>
      <c r="K9" s="157">
        <v>2</v>
      </c>
      <c r="L9" s="157">
        <v>0.4</v>
      </c>
      <c r="M9" s="158">
        <v>0.3</v>
      </c>
      <c r="N9" s="159">
        <v>0.14</v>
      </c>
      <c r="O9" s="93">
        <v>5</v>
      </c>
      <c r="P9" s="160">
        <v>400</v>
      </c>
      <c r="Q9" s="93">
        <v>1600</v>
      </c>
      <c r="S9"/>
      <c r="T9"/>
    </row>
    <row r="10" spans="9:20" ht="12.75">
      <c r="I10" s="93" t="s">
        <v>362</v>
      </c>
      <c r="J10" s="142">
        <f aca="true" t="shared" si="0" ref="J10:J51">1-J81</f>
        <v>0.77</v>
      </c>
      <c r="K10" s="157">
        <v>2</v>
      </c>
      <c r="L10" s="157">
        <v>0.4</v>
      </c>
      <c r="M10" s="158">
        <v>0.3</v>
      </c>
      <c r="N10" s="159">
        <v>0.14</v>
      </c>
      <c r="O10" s="93">
        <v>5</v>
      </c>
      <c r="P10" s="160">
        <v>400</v>
      </c>
      <c r="Q10" s="93">
        <v>1600</v>
      </c>
      <c r="S10"/>
      <c r="T10"/>
    </row>
    <row r="11" spans="9:20" ht="12.75">
      <c r="I11" s="93" t="s">
        <v>363</v>
      </c>
      <c r="J11" s="142">
        <f t="shared" si="0"/>
        <v>0.77</v>
      </c>
      <c r="K11" s="157">
        <v>2</v>
      </c>
      <c r="L11" s="157">
        <v>0.4</v>
      </c>
      <c r="M11" s="158">
        <v>0.3</v>
      </c>
      <c r="N11" s="159">
        <v>0.14</v>
      </c>
      <c r="O11" s="93">
        <v>5</v>
      </c>
      <c r="P11" s="160">
        <v>400</v>
      </c>
      <c r="Q11" s="93">
        <v>1600</v>
      </c>
      <c r="S11"/>
      <c r="T11"/>
    </row>
    <row r="12" spans="9:20" ht="13.5" thickBot="1">
      <c r="I12" s="93" t="s">
        <v>365</v>
      </c>
      <c r="J12" s="142">
        <f t="shared" si="0"/>
        <v>0.77</v>
      </c>
      <c r="K12" s="157">
        <v>2</v>
      </c>
      <c r="L12" s="157">
        <v>0.4</v>
      </c>
      <c r="M12" s="158">
        <v>0.3</v>
      </c>
      <c r="N12" s="159">
        <v>0.14</v>
      </c>
      <c r="O12" s="93">
        <v>5</v>
      </c>
      <c r="P12" s="160">
        <v>400</v>
      </c>
      <c r="Q12" s="93">
        <v>1600</v>
      </c>
      <c r="S12"/>
      <c r="T12"/>
    </row>
    <row r="13" spans="1:20" ht="13.5" thickBot="1">
      <c r="A13" s="104" t="s">
        <v>304</v>
      </c>
      <c r="B13" s="105">
        <v>200</v>
      </c>
      <c r="I13" s="93" t="s">
        <v>368</v>
      </c>
      <c r="J13" s="142">
        <f t="shared" si="0"/>
        <v>0.36</v>
      </c>
      <c r="K13" s="157">
        <v>3</v>
      </c>
      <c r="L13" s="157">
        <v>0.6</v>
      </c>
      <c r="M13" s="158">
        <v>0.45</v>
      </c>
      <c r="N13" s="159">
        <v>0.21</v>
      </c>
      <c r="O13" s="93">
        <v>5</v>
      </c>
      <c r="P13" s="160">
        <v>400</v>
      </c>
      <c r="Q13" s="93">
        <v>1600</v>
      </c>
      <c r="S13"/>
      <c r="T13"/>
    </row>
    <row r="14" spans="9:20" ht="12.75">
      <c r="I14" s="93" t="s">
        <v>366</v>
      </c>
      <c r="J14" s="142">
        <f t="shared" si="0"/>
        <v>0.36</v>
      </c>
      <c r="K14" s="157">
        <v>3</v>
      </c>
      <c r="L14" s="157">
        <v>0.6</v>
      </c>
      <c r="M14" s="158">
        <v>0.45</v>
      </c>
      <c r="N14" s="159">
        <v>0.21</v>
      </c>
      <c r="O14" s="93">
        <v>5</v>
      </c>
      <c r="P14" s="160">
        <v>400</v>
      </c>
      <c r="Q14" s="93">
        <v>1600</v>
      </c>
      <c r="S14"/>
      <c r="T14"/>
    </row>
    <row r="15" spans="1:20" ht="13.5" thickBot="1">
      <c r="A15" s="273" t="s">
        <v>401</v>
      </c>
      <c r="I15" s="93" t="s">
        <v>367</v>
      </c>
      <c r="J15" s="142">
        <f>1-J86</f>
        <v>0.36</v>
      </c>
      <c r="K15" s="157">
        <v>3</v>
      </c>
      <c r="L15" s="157">
        <v>0.6</v>
      </c>
      <c r="M15" s="158">
        <v>0.45</v>
      </c>
      <c r="N15" s="159">
        <v>0.21</v>
      </c>
      <c r="O15" s="93">
        <v>5</v>
      </c>
      <c r="P15" s="160">
        <v>400</v>
      </c>
      <c r="Q15" s="93">
        <v>1600</v>
      </c>
      <c r="S15"/>
      <c r="T15"/>
    </row>
    <row r="16" spans="1:20" ht="13.5" thickBot="1">
      <c r="A16" s="104" t="s">
        <v>246</v>
      </c>
      <c r="B16" s="106" t="s">
        <v>436</v>
      </c>
      <c r="C16" s="107" t="s">
        <v>209</v>
      </c>
      <c r="I16" s="93" t="s">
        <v>369</v>
      </c>
      <c r="J16" s="142">
        <f t="shared" si="0"/>
        <v>0.36</v>
      </c>
      <c r="K16" s="157">
        <v>2</v>
      </c>
      <c r="L16" s="157">
        <v>0.4</v>
      </c>
      <c r="M16" s="158">
        <v>0.3</v>
      </c>
      <c r="N16" s="159">
        <v>0.14</v>
      </c>
      <c r="O16" s="93">
        <v>5</v>
      </c>
      <c r="P16" s="160">
        <v>400</v>
      </c>
      <c r="Q16" s="93">
        <v>1600</v>
      </c>
      <c r="S16"/>
      <c r="T16"/>
    </row>
    <row r="17" spans="1:20" ht="12.75">
      <c r="A17" s="108" t="s">
        <v>402</v>
      </c>
      <c r="B17" s="109">
        <v>25000</v>
      </c>
      <c r="C17" s="110">
        <v>40000</v>
      </c>
      <c r="I17" s="93" t="s">
        <v>371</v>
      </c>
      <c r="J17" s="142">
        <f t="shared" si="0"/>
        <v>0.52</v>
      </c>
      <c r="K17" s="157">
        <v>3.5</v>
      </c>
      <c r="L17" s="157">
        <v>0.7</v>
      </c>
      <c r="M17" s="158">
        <v>0.525</v>
      </c>
      <c r="N17" s="159">
        <v>0.245</v>
      </c>
      <c r="O17" s="93">
        <v>5</v>
      </c>
      <c r="P17" s="160">
        <v>400</v>
      </c>
      <c r="Q17" s="93">
        <v>1600</v>
      </c>
      <c r="S17"/>
      <c r="T17"/>
    </row>
    <row r="18" spans="1:20" ht="12.75">
      <c r="A18" s="108" t="s">
        <v>403</v>
      </c>
      <c r="B18" s="109">
        <v>80000</v>
      </c>
      <c r="C18" s="110">
        <v>40000</v>
      </c>
      <c r="I18" s="93" t="s">
        <v>370</v>
      </c>
      <c r="J18" s="142">
        <f t="shared" si="0"/>
        <v>0.52</v>
      </c>
      <c r="K18" s="157">
        <v>3.5</v>
      </c>
      <c r="L18" s="157">
        <v>0.7</v>
      </c>
      <c r="M18" s="158">
        <v>0.525</v>
      </c>
      <c r="N18" s="159">
        <v>0.245</v>
      </c>
      <c r="O18" s="93">
        <v>5</v>
      </c>
      <c r="P18" s="160">
        <v>400</v>
      </c>
      <c r="Q18" s="93">
        <v>1600</v>
      </c>
      <c r="S18"/>
      <c r="T18"/>
    </row>
    <row r="19" spans="1:20" ht="12.75">
      <c r="A19" s="108" t="s">
        <v>404</v>
      </c>
      <c r="B19" s="109">
        <v>4000</v>
      </c>
      <c r="C19" s="110">
        <v>40000</v>
      </c>
      <c r="I19" s="93" t="s">
        <v>373</v>
      </c>
      <c r="J19" s="142">
        <f t="shared" si="0"/>
        <v>0.52</v>
      </c>
      <c r="K19" s="157">
        <v>3.5</v>
      </c>
      <c r="L19" s="157">
        <v>0.7</v>
      </c>
      <c r="M19" s="158">
        <v>0.525</v>
      </c>
      <c r="N19" s="159">
        <v>0.245</v>
      </c>
      <c r="O19" s="93">
        <v>5</v>
      </c>
      <c r="P19" s="160">
        <v>400</v>
      </c>
      <c r="Q19" s="93">
        <v>1600</v>
      </c>
      <c r="S19"/>
      <c r="T19"/>
    </row>
    <row r="20" spans="1:20" ht="13.5" thickBot="1">
      <c r="A20" s="111" t="s">
        <v>405</v>
      </c>
      <c r="B20" s="112">
        <v>7000</v>
      </c>
      <c r="C20" s="113">
        <v>40000</v>
      </c>
      <c r="I20" s="93" t="s">
        <v>372</v>
      </c>
      <c r="J20" s="142">
        <f t="shared" si="0"/>
        <v>0.52</v>
      </c>
      <c r="K20" s="157">
        <v>3.5</v>
      </c>
      <c r="L20" s="157">
        <v>0.7</v>
      </c>
      <c r="M20" s="158">
        <v>0.525</v>
      </c>
      <c r="N20" s="159">
        <v>0.245</v>
      </c>
      <c r="O20" s="93">
        <v>5</v>
      </c>
      <c r="P20" s="160">
        <v>400</v>
      </c>
      <c r="Q20" s="93">
        <v>1600</v>
      </c>
      <c r="S20"/>
      <c r="T20"/>
    </row>
    <row r="21" spans="9:20" ht="12.75">
      <c r="I21" s="93" t="s">
        <v>377</v>
      </c>
      <c r="J21" s="142">
        <f t="shared" si="0"/>
        <v>0.41000000000000003</v>
      </c>
      <c r="K21" s="157">
        <v>2.5</v>
      </c>
      <c r="L21" s="157">
        <v>0.5</v>
      </c>
      <c r="M21" s="158">
        <v>0.375</v>
      </c>
      <c r="N21" s="159">
        <v>0.175</v>
      </c>
      <c r="O21" s="93">
        <v>5</v>
      </c>
      <c r="P21" s="160">
        <v>400</v>
      </c>
      <c r="Q21" s="93">
        <v>1600</v>
      </c>
      <c r="S21"/>
      <c r="T21"/>
    </row>
    <row r="22" spans="9:20" ht="13.5" thickBot="1">
      <c r="I22" s="93" t="s">
        <v>374</v>
      </c>
      <c r="J22" s="142">
        <f t="shared" si="0"/>
        <v>0.47</v>
      </c>
      <c r="K22" s="157">
        <v>2.5</v>
      </c>
      <c r="L22" s="157">
        <v>0.5</v>
      </c>
      <c r="M22" s="158">
        <v>0.375</v>
      </c>
      <c r="N22" s="159">
        <v>0.175</v>
      </c>
      <c r="O22" s="93">
        <v>5</v>
      </c>
      <c r="P22" s="160">
        <v>400</v>
      </c>
      <c r="Q22" s="93">
        <v>1600</v>
      </c>
      <c r="S22"/>
      <c r="T22"/>
    </row>
    <row r="23" spans="1:20" ht="12.75">
      <c r="A23" s="114" t="s">
        <v>127</v>
      </c>
      <c r="B23" s="115" t="s">
        <v>247</v>
      </c>
      <c r="I23" s="93" t="s">
        <v>375</v>
      </c>
      <c r="J23" s="142">
        <f t="shared" si="0"/>
        <v>0.47</v>
      </c>
      <c r="K23" s="157">
        <v>2.5</v>
      </c>
      <c r="L23" s="157">
        <v>0.5</v>
      </c>
      <c r="M23" s="158">
        <v>0.375</v>
      </c>
      <c r="N23" s="159">
        <v>0.175</v>
      </c>
      <c r="O23" s="93">
        <v>5</v>
      </c>
      <c r="P23" s="160">
        <v>400</v>
      </c>
      <c r="Q23" s="93">
        <v>1600</v>
      </c>
      <c r="S23"/>
      <c r="T23"/>
    </row>
    <row r="24" spans="1:20" ht="12.75">
      <c r="A24" s="116" t="s">
        <v>132</v>
      </c>
      <c r="B24" s="110">
        <v>60000</v>
      </c>
      <c r="I24" s="93" t="s">
        <v>376</v>
      </c>
      <c r="J24" s="142">
        <f t="shared" si="0"/>
        <v>0.47</v>
      </c>
      <c r="K24" s="157">
        <v>2.5</v>
      </c>
      <c r="L24" s="157">
        <v>0.5</v>
      </c>
      <c r="M24" s="158">
        <v>0.375</v>
      </c>
      <c r="N24" s="159">
        <v>0.175</v>
      </c>
      <c r="O24" s="93">
        <v>5</v>
      </c>
      <c r="P24" s="160">
        <v>400</v>
      </c>
      <c r="Q24" s="93">
        <v>1600</v>
      </c>
      <c r="S24"/>
      <c r="T24"/>
    </row>
    <row r="25" spans="1:20" ht="12.75">
      <c r="A25" s="116" t="s">
        <v>133</v>
      </c>
      <c r="B25" s="110">
        <v>80000</v>
      </c>
      <c r="I25" s="93" t="s">
        <v>378</v>
      </c>
      <c r="J25" s="142">
        <f t="shared" si="0"/>
        <v>0.41000000000000003</v>
      </c>
      <c r="K25" s="157">
        <v>2.5</v>
      </c>
      <c r="L25" s="157">
        <v>0.5</v>
      </c>
      <c r="M25" s="158">
        <v>0.375</v>
      </c>
      <c r="N25" s="159">
        <v>0.175</v>
      </c>
      <c r="O25" s="93">
        <v>5</v>
      </c>
      <c r="P25" s="160">
        <v>400</v>
      </c>
      <c r="Q25" s="93">
        <v>1600</v>
      </c>
      <c r="S25"/>
      <c r="T25"/>
    </row>
    <row r="26" spans="1:20" ht="12.75">
      <c r="A26" s="116" t="s">
        <v>248</v>
      </c>
      <c r="B26" s="110">
        <v>125000</v>
      </c>
      <c r="C26" s="117"/>
      <c r="I26" s="93" t="s">
        <v>63</v>
      </c>
      <c r="J26" s="142">
        <f t="shared" si="0"/>
        <v>0.35</v>
      </c>
      <c r="K26" s="157">
        <v>1</v>
      </c>
      <c r="L26" s="157">
        <v>0.2</v>
      </c>
      <c r="M26" s="158">
        <v>0.15</v>
      </c>
      <c r="N26" s="159">
        <v>0.07</v>
      </c>
      <c r="O26" s="93">
        <v>5</v>
      </c>
      <c r="P26" s="160">
        <v>280</v>
      </c>
      <c r="Q26" s="93">
        <v>1120</v>
      </c>
      <c r="S26"/>
      <c r="T26"/>
    </row>
    <row r="27" spans="1:20" ht="12.75">
      <c r="A27" s="116" t="s">
        <v>333</v>
      </c>
      <c r="B27" s="110">
        <v>70000</v>
      </c>
      <c r="I27" s="93" t="s">
        <v>379</v>
      </c>
      <c r="J27" s="142">
        <f t="shared" si="0"/>
        <v>0.35</v>
      </c>
      <c r="K27" s="157">
        <v>1</v>
      </c>
      <c r="L27" s="157">
        <v>0.2</v>
      </c>
      <c r="M27" s="158">
        <v>0.15</v>
      </c>
      <c r="N27" s="159">
        <v>0.07</v>
      </c>
      <c r="O27" s="93">
        <v>5</v>
      </c>
      <c r="P27" s="160">
        <v>280</v>
      </c>
      <c r="Q27" s="93">
        <v>1120</v>
      </c>
      <c r="S27"/>
      <c r="T27"/>
    </row>
    <row r="28" spans="1:20" ht="12.75">
      <c r="A28" s="116" t="s">
        <v>120</v>
      </c>
      <c r="B28" s="110">
        <v>125000</v>
      </c>
      <c r="I28" s="93" t="s">
        <v>380</v>
      </c>
      <c r="J28" s="142">
        <f t="shared" si="0"/>
        <v>0.35</v>
      </c>
      <c r="K28" s="157">
        <v>1</v>
      </c>
      <c r="L28" s="157">
        <v>0.2</v>
      </c>
      <c r="M28" s="158">
        <v>0.15</v>
      </c>
      <c r="N28" s="159">
        <v>0.07</v>
      </c>
      <c r="O28" s="93">
        <v>5</v>
      </c>
      <c r="P28" s="160">
        <v>280</v>
      </c>
      <c r="Q28" s="93">
        <v>1120</v>
      </c>
      <c r="S28"/>
      <c r="T28"/>
    </row>
    <row r="29" spans="1:20" ht="13.5" thickBot="1">
      <c r="A29" s="118" t="s">
        <v>249</v>
      </c>
      <c r="B29" s="113">
        <v>70000</v>
      </c>
      <c r="I29" s="93" t="s">
        <v>381</v>
      </c>
      <c r="J29" s="142">
        <f t="shared" si="0"/>
        <v>0.5</v>
      </c>
      <c r="K29" s="157">
        <v>1</v>
      </c>
      <c r="L29" s="157">
        <v>0.2</v>
      </c>
      <c r="M29" s="158">
        <v>0.15</v>
      </c>
      <c r="N29" s="159">
        <v>0.07</v>
      </c>
      <c r="O29" s="93">
        <v>5</v>
      </c>
      <c r="P29" s="160">
        <v>240</v>
      </c>
      <c r="Q29" s="93">
        <v>960</v>
      </c>
      <c r="S29"/>
      <c r="T29"/>
    </row>
    <row r="30" spans="9:20" ht="12.75">
      <c r="I30" s="93" t="s">
        <v>382</v>
      </c>
      <c r="J30" s="142">
        <f t="shared" si="0"/>
        <v>0.5</v>
      </c>
      <c r="K30" s="157">
        <v>1</v>
      </c>
      <c r="L30" s="157">
        <v>0.2</v>
      </c>
      <c r="M30" s="158">
        <v>0.15</v>
      </c>
      <c r="N30" s="159">
        <v>0.07</v>
      </c>
      <c r="O30" s="93">
        <v>5</v>
      </c>
      <c r="P30" s="160">
        <v>240</v>
      </c>
      <c r="Q30" s="93">
        <v>960</v>
      </c>
      <c r="S30"/>
      <c r="T30"/>
    </row>
    <row r="31" spans="9:20" ht="13.5" thickBot="1">
      <c r="I31" s="93" t="s">
        <v>384</v>
      </c>
      <c r="J31" s="142">
        <f t="shared" si="0"/>
        <v>0.5</v>
      </c>
      <c r="K31" s="157">
        <v>1</v>
      </c>
      <c r="L31" s="157">
        <v>0.2</v>
      </c>
      <c r="M31" s="158">
        <v>0.15</v>
      </c>
      <c r="N31" s="159">
        <v>0.07</v>
      </c>
      <c r="O31" s="93">
        <v>5</v>
      </c>
      <c r="P31" s="160">
        <v>240</v>
      </c>
      <c r="Q31" s="93">
        <v>960</v>
      </c>
      <c r="S31"/>
      <c r="T31"/>
    </row>
    <row r="32" spans="1:20" ht="12.75">
      <c r="A32" s="119" t="s">
        <v>195</v>
      </c>
      <c r="B32" s="120" t="s">
        <v>437</v>
      </c>
      <c r="C32" s="121" t="s">
        <v>252</v>
      </c>
      <c r="D32" s="122" t="s">
        <v>438</v>
      </c>
      <c r="E32" s="115" t="s">
        <v>253</v>
      </c>
      <c r="I32" s="93" t="s">
        <v>383</v>
      </c>
      <c r="J32" s="142">
        <f t="shared" si="0"/>
        <v>0.5</v>
      </c>
      <c r="K32" s="157">
        <v>1</v>
      </c>
      <c r="L32" s="157">
        <v>0.2</v>
      </c>
      <c r="M32" s="158">
        <v>0.15</v>
      </c>
      <c r="N32" s="159">
        <v>0.07</v>
      </c>
      <c r="O32" s="93">
        <v>5</v>
      </c>
      <c r="P32" s="160">
        <v>240</v>
      </c>
      <c r="Q32" s="93">
        <v>960</v>
      </c>
      <c r="S32"/>
      <c r="T32"/>
    </row>
    <row r="33" spans="1:20" ht="12.75">
      <c r="A33" s="123" t="s">
        <v>141</v>
      </c>
      <c r="B33" s="124"/>
      <c r="C33" s="125"/>
      <c r="D33" s="126"/>
      <c r="E33" s="110"/>
      <c r="I33" s="93" t="s">
        <v>385</v>
      </c>
      <c r="J33" s="142">
        <f t="shared" si="0"/>
        <v>0.5</v>
      </c>
      <c r="K33" s="157">
        <v>1</v>
      </c>
      <c r="L33" s="157">
        <v>0.2</v>
      </c>
      <c r="M33" s="158">
        <v>0.15</v>
      </c>
      <c r="N33" s="159">
        <v>0.07</v>
      </c>
      <c r="O33" s="93">
        <v>5</v>
      </c>
      <c r="P33" s="160">
        <v>240</v>
      </c>
      <c r="Q33" s="93">
        <v>960</v>
      </c>
      <c r="S33"/>
      <c r="T33"/>
    </row>
    <row r="34" spans="1:20" ht="12.75">
      <c r="A34" s="127" t="s">
        <v>140</v>
      </c>
      <c r="B34" s="128">
        <v>25</v>
      </c>
      <c r="C34" s="129">
        <v>3500</v>
      </c>
      <c r="D34" s="109">
        <v>175</v>
      </c>
      <c r="E34" s="110"/>
      <c r="I34" s="93" t="s">
        <v>386</v>
      </c>
      <c r="J34" s="142">
        <f t="shared" si="0"/>
        <v>0.5</v>
      </c>
      <c r="K34" s="157">
        <v>1</v>
      </c>
      <c r="L34" s="157">
        <v>0.2</v>
      </c>
      <c r="M34" s="158">
        <v>0.15</v>
      </c>
      <c r="N34" s="159">
        <v>0.07</v>
      </c>
      <c r="O34" s="93">
        <v>5</v>
      </c>
      <c r="P34" s="160">
        <v>240</v>
      </c>
      <c r="Q34" s="93">
        <v>960</v>
      </c>
      <c r="S34"/>
      <c r="T34"/>
    </row>
    <row r="35" spans="1:20" ht="12.75">
      <c r="A35" s="130" t="s">
        <v>196</v>
      </c>
      <c r="B35" s="131">
        <v>25</v>
      </c>
      <c r="C35" s="132">
        <v>175</v>
      </c>
      <c r="D35" s="133">
        <v>50</v>
      </c>
      <c r="E35" s="134"/>
      <c r="I35" s="93" t="s">
        <v>387</v>
      </c>
      <c r="J35" s="142">
        <f t="shared" si="0"/>
        <v>0.63</v>
      </c>
      <c r="K35" s="157">
        <v>3</v>
      </c>
      <c r="L35" s="157">
        <v>0.6</v>
      </c>
      <c r="M35" s="158">
        <v>0.45</v>
      </c>
      <c r="N35" s="159">
        <v>0.21</v>
      </c>
      <c r="O35" s="93">
        <v>5</v>
      </c>
      <c r="P35" s="160">
        <v>1400</v>
      </c>
      <c r="Q35" s="93">
        <v>5600</v>
      </c>
      <c r="S35"/>
      <c r="T35"/>
    </row>
    <row r="36" spans="1:20" ht="12.75">
      <c r="A36" s="108" t="s">
        <v>142</v>
      </c>
      <c r="B36" s="128"/>
      <c r="C36" s="129"/>
      <c r="D36" s="109"/>
      <c r="E36" s="110"/>
      <c r="I36" s="93" t="s">
        <v>388</v>
      </c>
      <c r="J36" s="142">
        <f t="shared" si="0"/>
        <v>0.5800000000000001</v>
      </c>
      <c r="K36" s="157">
        <v>3</v>
      </c>
      <c r="L36" s="157">
        <v>0.6</v>
      </c>
      <c r="M36" s="158">
        <v>0.45</v>
      </c>
      <c r="N36" s="159">
        <v>0.21</v>
      </c>
      <c r="O36" s="93">
        <v>5</v>
      </c>
      <c r="P36" s="160">
        <v>800</v>
      </c>
      <c r="Q36" s="93">
        <v>3200</v>
      </c>
      <c r="S36"/>
      <c r="T36"/>
    </row>
    <row r="37" spans="1:20" ht="13.5" thickBot="1">
      <c r="A37" s="135" t="s">
        <v>139</v>
      </c>
      <c r="B37" s="136">
        <v>25</v>
      </c>
      <c r="C37" s="137">
        <v>175</v>
      </c>
      <c r="D37" s="112">
        <v>50</v>
      </c>
      <c r="E37" s="113">
        <v>150</v>
      </c>
      <c r="I37" s="93" t="s">
        <v>389</v>
      </c>
      <c r="J37" s="142">
        <f t="shared" si="0"/>
        <v>0.7</v>
      </c>
      <c r="K37" s="157">
        <v>3</v>
      </c>
      <c r="L37" s="157">
        <v>0.6</v>
      </c>
      <c r="M37" s="158">
        <v>0.45</v>
      </c>
      <c r="N37" s="159">
        <v>0.21</v>
      </c>
      <c r="O37" s="93">
        <v>5</v>
      </c>
      <c r="P37" s="160">
        <v>120</v>
      </c>
      <c r="Q37" s="93">
        <v>480</v>
      </c>
      <c r="S37"/>
      <c r="T37"/>
    </row>
    <row r="38" spans="9:20" ht="12.75">
      <c r="I38" s="93" t="s">
        <v>390</v>
      </c>
      <c r="J38" s="142">
        <f t="shared" si="0"/>
        <v>0.65</v>
      </c>
      <c r="K38" s="157">
        <v>0.5</v>
      </c>
      <c r="L38" s="157">
        <v>0.1</v>
      </c>
      <c r="M38" s="158">
        <v>0.075</v>
      </c>
      <c r="N38" s="159">
        <v>0.035</v>
      </c>
      <c r="O38" s="93">
        <v>5</v>
      </c>
      <c r="P38" s="160">
        <v>120</v>
      </c>
      <c r="Q38" s="93">
        <v>480</v>
      </c>
      <c r="S38"/>
      <c r="T38"/>
    </row>
    <row r="39" spans="9:20" ht="12.75">
      <c r="I39" s="93" t="s">
        <v>391</v>
      </c>
      <c r="J39" s="142">
        <f t="shared" si="0"/>
        <v>0.19999999999999996</v>
      </c>
      <c r="K39" s="157">
        <v>9</v>
      </c>
      <c r="L39" s="157">
        <v>1.8</v>
      </c>
      <c r="M39" s="158">
        <v>1.35</v>
      </c>
      <c r="N39" s="159">
        <v>0.63</v>
      </c>
      <c r="O39" s="93">
        <v>5</v>
      </c>
      <c r="P39" s="160">
        <v>500</v>
      </c>
      <c r="Q39" s="93">
        <v>2000</v>
      </c>
      <c r="S39"/>
      <c r="T39"/>
    </row>
    <row r="40" spans="9:20" ht="12.75">
      <c r="I40" s="93" t="s">
        <v>392</v>
      </c>
      <c r="J40" s="142">
        <f t="shared" si="0"/>
        <v>0.19999999999999996</v>
      </c>
      <c r="K40" s="157">
        <v>6</v>
      </c>
      <c r="L40" s="157">
        <v>1.2</v>
      </c>
      <c r="M40" s="158">
        <v>0.9</v>
      </c>
      <c r="N40" s="159">
        <v>0.42</v>
      </c>
      <c r="O40" s="93">
        <v>5</v>
      </c>
      <c r="P40" s="160">
        <v>400</v>
      </c>
      <c r="Q40" s="93">
        <v>1600</v>
      </c>
      <c r="S40"/>
      <c r="T40"/>
    </row>
    <row r="41" spans="1:20" ht="15.75">
      <c r="A41" s="138" t="s">
        <v>315</v>
      </c>
      <c r="I41" s="93" t="s">
        <v>393</v>
      </c>
      <c r="J41" s="142">
        <f t="shared" si="0"/>
        <v>0.19999999999999996</v>
      </c>
      <c r="K41" s="157">
        <v>5</v>
      </c>
      <c r="L41" s="157">
        <v>1</v>
      </c>
      <c r="M41" s="158">
        <v>0.75</v>
      </c>
      <c r="N41" s="159">
        <v>0.35</v>
      </c>
      <c r="O41" s="93">
        <v>5</v>
      </c>
      <c r="P41" s="160">
        <v>400</v>
      </c>
      <c r="Q41" s="93">
        <v>1600</v>
      </c>
      <c r="S41"/>
      <c r="T41"/>
    </row>
    <row r="42" spans="9:20" ht="12.75">
      <c r="I42" s="93" t="s">
        <v>90</v>
      </c>
      <c r="J42" s="142">
        <f t="shared" si="0"/>
        <v>0.65</v>
      </c>
      <c r="K42" s="157">
        <v>1.5</v>
      </c>
      <c r="L42" s="157">
        <v>0.3</v>
      </c>
      <c r="M42" s="158">
        <v>0.225</v>
      </c>
      <c r="N42" s="159">
        <v>0.105</v>
      </c>
      <c r="O42" s="93">
        <v>5</v>
      </c>
      <c r="P42" s="160">
        <v>120</v>
      </c>
      <c r="Q42" s="93">
        <v>480</v>
      </c>
      <c r="S42"/>
      <c r="T42"/>
    </row>
    <row r="43" spans="9:20" ht="13.5" thickBot="1">
      <c r="I43" s="93" t="s">
        <v>91</v>
      </c>
      <c r="J43" s="142">
        <f t="shared" si="0"/>
        <v>0.65</v>
      </c>
      <c r="K43" s="157">
        <v>0.7</v>
      </c>
      <c r="L43" s="157">
        <v>0.14</v>
      </c>
      <c r="M43" s="158">
        <v>0.105</v>
      </c>
      <c r="N43" s="159">
        <v>0.049</v>
      </c>
      <c r="O43" s="93">
        <v>5</v>
      </c>
      <c r="P43" s="160">
        <v>120</v>
      </c>
      <c r="Q43" s="93">
        <v>480</v>
      </c>
      <c r="S43"/>
      <c r="T43"/>
    </row>
    <row r="44" spans="1:20" ht="13.5" thickBot="1">
      <c r="A44" s="422" t="s">
        <v>211</v>
      </c>
      <c r="B44" s="140" t="s">
        <v>212</v>
      </c>
      <c r="C44" s="285" t="s">
        <v>213</v>
      </c>
      <c r="I44" s="93" t="s">
        <v>92</v>
      </c>
      <c r="J44" s="142">
        <f t="shared" si="0"/>
        <v>0.7</v>
      </c>
      <c r="K44" s="157">
        <v>1</v>
      </c>
      <c r="L44" s="157">
        <v>0.2</v>
      </c>
      <c r="M44" s="158">
        <v>0.15</v>
      </c>
      <c r="N44" s="159">
        <v>0.07</v>
      </c>
      <c r="O44" s="93">
        <v>5</v>
      </c>
      <c r="P44" s="160">
        <v>120</v>
      </c>
      <c r="Q44" s="93">
        <v>480</v>
      </c>
      <c r="S44"/>
      <c r="T44"/>
    </row>
    <row r="45" spans="1:20" ht="12.75">
      <c r="A45" s="437" t="s">
        <v>245</v>
      </c>
      <c r="B45" s="438" t="s">
        <v>446</v>
      </c>
      <c r="C45" s="439">
        <v>0.98</v>
      </c>
      <c r="I45" s="93" t="s">
        <v>395</v>
      </c>
      <c r="J45" s="142">
        <f t="shared" si="0"/>
        <v>0.49</v>
      </c>
      <c r="K45" s="157">
        <v>4</v>
      </c>
      <c r="L45" s="157">
        <v>0.8</v>
      </c>
      <c r="M45" s="158">
        <v>0.6</v>
      </c>
      <c r="N45" s="159">
        <v>0.28</v>
      </c>
      <c r="O45" s="93">
        <v>5</v>
      </c>
      <c r="P45" s="160">
        <v>500</v>
      </c>
      <c r="Q45" s="93">
        <v>2000</v>
      </c>
      <c r="S45"/>
      <c r="T45"/>
    </row>
    <row r="46" spans="1:20" ht="12.75">
      <c r="A46" s="359" t="s">
        <v>234</v>
      </c>
      <c r="B46" s="141" t="s">
        <v>215</v>
      </c>
      <c r="C46" s="361">
        <v>0.95</v>
      </c>
      <c r="I46" s="93" t="s">
        <v>394</v>
      </c>
      <c r="J46" s="142">
        <f t="shared" si="0"/>
        <v>0.49</v>
      </c>
      <c r="K46" s="157">
        <v>4</v>
      </c>
      <c r="L46" s="157">
        <v>0.8</v>
      </c>
      <c r="M46" s="158">
        <v>0.6</v>
      </c>
      <c r="N46" s="159">
        <v>0.28</v>
      </c>
      <c r="O46" s="93">
        <v>5</v>
      </c>
      <c r="P46" s="160">
        <v>500</v>
      </c>
      <c r="Q46" s="93">
        <v>2000</v>
      </c>
      <c r="S46"/>
      <c r="T46"/>
    </row>
    <row r="47" spans="1:20" ht="12.75">
      <c r="A47" s="359" t="s">
        <v>235</v>
      </c>
      <c r="B47" s="141" t="s">
        <v>216</v>
      </c>
      <c r="C47" s="361">
        <v>0.5</v>
      </c>
      <c r="D47" s="273"/>
      <c r="I47" s="93" t="s">
        <v>396</v>
      </c>
      <c r="J47" s="142">
        <f t="shared" si="0"/>
        <v>0.43000000000000005</v>
      </c>
      <c r="K47" s="157">
        <v>1.5</v>
      </c>
      <c r="L47" s="157">
        <v>0.3</v>
      </c>
      <c r="M47" s="158">
        <v>0.225</v>
      </c>
      <c r="N47" s="159">
        <v>0.105</v>
      </c>
      <c r="O47" s="93">
        <v>5</v>
      </c>
      <c r="P47" s="160">
        <v>400</v>
      </c>
      <c r="Q47" s="93">
        <v>1600</v>
      </c>
      <c r="S47"/>
      <c r="T47"/>
    </row>
    <row r="48" spans="1:20" ht="12.75">
      <c r="A48" s="359" t="s">
        <v>236</v>
      </c>
      <c r="B48" s="141" t="s">
        <v>218</v>
      </c>
      <c r="C48" s="361">
        <v>1800</v>
      </c>
      <c r="I48" s="93" t="s">
        <v>97</v>
      </c>
      <c r="J48" s="142">
        <f t="shared" si="0"/>
        <v>0.61</v>
      </c>
      <c r="K48" s="157">
        <v>1</v>
      </c>
      <c r="L48" s="157">
        <v>0.2</v>
      </c>
      <c r="M48" s="158">
        <v>0.15</v>
      </c>
      <c r="N48" s="159">
        <v>0.07</v>
      </c>
      <c r="O48" s="93">
        <v>5</v>
      </c>
      <c r="P48" s="160">
        <v>120</v>
      </c>
      <c r="Q48" s="93">
        <v>480</v>
      </c>
      <c r="S48"/>
      <c r="T48"/>
    </row>
    <row r="49" spans="1:20" ht="12.75">
      <c r="A49" s="359" t="s">
        <v>298</v>
      </c>
      <c r="B49" s="141" t="s">
        <v>219</v>
      </c>
      <c r="C49" s="361">
        <v>120</v>
      </c>
      <c r="I49" s="93" t="s">
        <v>397</v>
      </c>
      <c r="J49" s="142">
        <f t="shared" si="0"/>
        <v>0.55</v>
      </c>
      <c r="K49" s="157">
        <v>0.8</v>
      </c>
      <c r="L49" s="157">
        <v>0.16</v>
      </c>
      <c r="M49" s="158">
        <v>0.12</v>
      </c>
      <c r="N49" s="159">
        <v>0.056</v>
      </c>
      <c r="O49" s="93">
        <v>5</v>
      </c>
      <c r="P49" s="160">
        <v>320</v>
      </c>
      <c r="Q49" s="93">
        <v>1280</v>
      </c>
      <c r="S49"/>
      <c r="T49"/>
    </row>
    <row r="50" spans="1:20" ht="12.75">
      <c r="A50" s="359" t="s">
        <v>242</v>
      </c>
      <c r="B50" s="141"/>
      <c r="C50" s="362">
        <v>0.6666666666666666</v>
      </c>
      <c r="I50" s="93" t="s">
        <v>399</v>
      </c>
      <c r="J50" s="142">
        <f t="shared" si="0"/>
        <v>0.45999999999999996</v>
      </c>
      <c r="K50" s="157">
        <v>2</v>
      </c>
      <c r="L50" s="157">
        <v>0.4</v>
      </c>
      <c r="M50" s="158">
        <v>0.3</v>
      </c>
      <c r="N50" s="159">
        <v>0.14</v>
      </c>
      <c r="O50" s="93">
        <v>5</v>
      </c>
      <c r="P50" s="160">
        <v>500</v>
      </c>
      <c r="Q50" s="93">
        <v>2000</v>
      </c>
      <c r="S50"/>
      <c r="T50"/>
    </row>
    <row r="51" spans="1:20" ht="13.5" thickBot="1">
      <c r="A51" s="359" t="s">
        <v>572</v>
      </c>
      <c r="B51" s="141" t="s">
        <v>221</v>
      </c>
      <c r="C51" s="361">
        <v>10000</v>
      </c>
      <c r="E51" s="386" t="s">
        <v>577</v>
      </c>
      <c r="I51" s="94" t="s">
        <v>398</v>
      </c>
      <c r="J51" s="142">
        <f t="shared" si="0"/>
        <v>0.45999999999999996</v>
      </c>
      <c r="K51" s="162">
        <v>2</v>
      </c>
      <c r="L51" s="162">
        <v>0.4</v>
      </c>
      <c r="M51" s="163">
        <v>0.3</v>
      </c>
      <c r="N51" s="164">
        <v>0.14</v>
      </c>
      <c r="O51" s="94">
        <v>5</v>
      </c>
      <c r="P51" s="165">
        <v>500</v>
      </c>
      <c r="Q51" s="94">
        <v>2000</v>
      </c>
      <c r="S51"/>
      <c r="T51"/>
    </row>
    <row r="52" spans="1:5" ht="12.75">
      <c r="A52" s="359" t="s">
        <v>243</v>
      </c>
      <c r="B52" s="141"/>
      <c r="C52" s="361">
        <v>0.25</v>
      </c>
      <c r="E52" s="103" t="s">
        <v>558</v>
      </c>
    </row>
    <row r="53" spans="1:3" ht="12.75">
      <c r="A53" s="359" t="s">
        <v>439</v>
      </c>
      <c r="B53" s="141" t="s">
        <v>223</v>
      </c>
      <c r="C53" s="361">
        <v>120</v>
      </c>
    </row>
    <row r="54" spans="1:3" ht="13.5" thickBot="1">
      <c r="A54" s="360" t="s">
        <v>425</v>
      </c>
      <c r="B54" s="145" t="s">
        <v>547</v>
      </c>
      <c r="C54" s="440"/>
    </row>
    <row r="55" spans="1:10" ht="13.5" thickBot="1">
      <c r="A55" s="143" t="s">
        <v>465</v>
      </c>
      <c r="B55" s="358"/>
      <c r="C55" s="285"/>
      <c r="J55" s="227">
        <v>0.2</v>
      </c>
    </row>
    <row r="56" spans="1:10" ht="12.75">
      <c r="A56" s="441" t="s">
        <v>574</v>
      </c>
      <c r="B56" s="120" t="s">
        <v>224</v>
      </c>
      <c r="C56" s="442">
        <f>IF((C54&gt;0),C54,IF((CT_ACTUAL&gt;0),CT_ACTUAL,CT_HANDLE/60+CT_CALC*CT_FACTOR)/24)</f>
        <v>26.846392371541658</v>
      </c>
      <c r="E56" s="386" t="s">
        <v>573</v>
      </c>
      <c r="J56" s="227">
        <v>0.2</v>
      </c>
    </row>
    <row r="57" spans="1:6" ht="12.75">
      <c r="A57" s="443" t="s">
        <v>244</v>
      </c>
      <c r="B57" s="141" t="s">
        <v>447</v>
      </c>
      <c r="C57" s="444">
        <v>25000</v>
      </c>
      <c r="F57" s="103" t="s">
        <v>548</v>
      </c>
    </row>
    <row r="58" spans="1:6" ht="12.75">
      <c r="A58" s="443" t="s">
        <v>238</v>
      </c>
      <c r="B58" s="141" t="s">
        <v>225</v>
      </c>
      <c r="C58" s="444">
        <f>+WS*YF</f>
        <v>23750</v>
      </c>
      <c r="F58" s="103" t="s">
        <v>575</v>
      </c>
    </row>
    <row r="59" spans="1:6" ht="12.75">
      <c r="A59" s="443" t="s">
        <v>239</v>
      </c>
      <c r="B59" s="141" t="s">
        <v>220</v>
      </c>
      <c r="C59" s="444">
        <f>-LN(1-C50)/(0.5*C49)</f>
        <v>0.01831020481113516</v>
      </c>
      <c r="F59" s="103" t="s">
        <v>576</v>
      </c>
    </row>
    <row r="60" spans="1:6" ht="13.5" thickBot="1">
      <c r="A60" s="445" t="s">
        <v>241</v>
      </c>
      <c r="B60" s="145" t="s">
        <v>222</v>
      </c>
      <c r="C60" s="446">
        <f>-LN(1-C52)/360</f>
        <v>0.0007991168679216136</v>
      </c>
      <c r="F60" s="103" t="s">
        <v>603</v>
      </c>
    </row>
    <row r="61" ht="12.75">
      <c r="F61" s="103" t="s">
        <v>604</v>
      </c>
    </row>
    <row r="63" ht="12.75">
      <c r="A63" s="386" t="s">
        <v>549</v>
      </c>
    </row>
    <row r="64" ht="12.75">
      <c r="A64" s="103" t="s">
        <v>466</v>
      </c>
    </row>
    <row r="66" ht="12.75">
      <c r="A66" s="386" t="s">
        <v>550</v>
      </c>
    </row>
    <row r="67" ht="12.75">
      <c r="A67" s="424" t="s">
        <v>559</v>
      </c>
    </row>
    <row r="69" ht="12.75">
      <c r="A69" s="386" t="s">
        <v>551</v>
      </c>
    </row>
    <row r="70" ht="12.75">
      <c r="A70" s="103" t="s">
        <v>462</v>
      </c>
    </row>
    <row r="74" ht="15.75">
      <c r="A74" s="138" t="s">
        <v>482</v>
      </c>
    </row>
    <row r="75" spans="5:8" ht="15.75">
      <c r="E75" s="273" t="s">
        <v>543</v>
      </c>
      <c r="H75" s="138" t="s">
        <v>483</v>
      </c>
    </row>
    <row r="76" spans="12:22" ht="13.5" thickBot="1">
      <c r="L76" s="273"/>
      <c r="T76" s="386" t="s">
        <v>442</v>
      </c>
      <c r="V76" s="273" t="s">
        <v>553</v>
      </c>
    </row>
    <row r="77" spans="3:9" ht="13.5" thickBot="1">
      <c r="C77" s="423" t="s">
        <v>451</v>
      </c>
      <c r="D77" s="290" t="s">
        <v>453</v>
      </c>
      <c r="E77" s="278" t="s">
        <v>452</v>
      </c>
      <c r="I77" s="273" t="s">
        <v>458</v>
      </c>
    </row>
    <row r="78" spans="3:27" ht="13.5" thickBot="1">
      <c r="C78" s="294">
        <v>1</v>
      </c>
      <c r="D78" s="296">
        <v>0</v>
      </c>
      <c r="E78" s="297">
        <v>15000</v>
      </c>
      <c r="I78" s="146" t="s">
        <v>428</v>
      </c>
      <c r="J78" s="147"/>
      <c r="K78" s="298">
        <v>1</v>
      </c>
      <c r="L78" s="299">
        <v>2</v>
      </c>
      <c r="M78" s="299">
        <v>3</v>
      </c>
      <c r="N78" s="299">
        <v>4</v>
      </c>
      <c r="O78" s="299">
        <v>5</v>
      </c>
      <c r="P78" s="299">
        <v>6</v>
      </c>
      <c r="Q78" s="299">
        <v>7</v>
      </c>
      <c r="R78" s="412">
        <v>8</v>
      </c>
      <c r="S78" s="217"/>
      <c r="T78" s="416">
        <v>1</v>
      </c>
      <c r="U78" s="299">
        <v>2</v>
      </c>
      <c r="V78" s="299">
        <v>3</v>
      </c>
      <c r="W78" s="299">
        <v>4</v>
      </c>
      <c r="X78" s="299">
        <v>5</v>
      </c>
      <c r="Y78" s="299">
        <v>6</v>
      </c>
      <c r="Z78" s="299">
        <v>7</v>
      </c>
      <c r="AA78" s="419">
        <v>8</v>
      </c>
    </row>
    <row r="79" spans="3:27" ht="13.5" thickBot="1">
      <c r="C79" s="294">
        <v>2</v>
      </c>
      <c r="D79" s="291">
        <v>120</v>
      </c>
      <c r="E79" s="284">
        <v>25000</v>
      </c>
      <c r="I79" s="146" t="s">
        <v>106</v>
      </c>
      <c r="J79" s="144"/>
      <c r="K79" s="302" t="s">
        <v>426</v>
      </c>
      <c r="L79" s="303" t="s">
        <v>426</v>
      </c>
      <c r="M79" s="303" t="s">
        <v>426</v>
      </c>
      <c r="N79" s="303" t="s">
        <v>426</v>
      </c>
      <c r="O79" s="303" t="s">
        <v>426</v>
      </c>
      <c r="P79" s="303" t="s">
        <v>426</v>
      </c>
      <c r="Q79" s="303" t="s">
        <v>426</v>
      </c>
      <c r="R79" s="413" t="s">
        <v>426</v>
      </c>
      <c r="S79" s="219" t="s">
        <v>106</v>
      </c>
      <c r="T79" s="411" t="s">
        <v>448</v>
      </c>
      <c r="U79" s="411" t="s">
        <v>448</v>
      </c>
      <c r="V79" s="411" t="s">
        <v>448</v>
      </c>
      <c r="W79" s="411" t="s">
        <v>448</v>
      </c>
      <c r="X79" s="303" t="s">
        <v>448</v>
      </c>
      <c r="Y79" s="411" t="s">
        <v>448</v>
      </c>
      <c r="Z79" s="411" t="s">
        <v>448</v>
      </c>
      <c r="AA79" s="425" t="s">
        <v>448</v>
      </c>
    </row>
    <row r="80" spans="3:27" ht="12.75">
      <c r="C80" s="294">
        <v>3</v>
      </c>
      <c r="D80" s="291"/>
      <c r="E80" s="284"/>
      <c r="I80" s="114" t="str">
        <f aca="true" t="shared" si="1" ref="I80:I122">I9</f>
        <v>CMP_Ins</v>
      </c>
      <c r="J80" s="156">
        <v>0.23</v>
      </c>
      <c r="K80" s="301">
        <v>0.23</v>
      </c>
      <c r="L80" s="131"/>
      <c r="M80" s="131"/>
      <c r="N80" s="131"/>
      <c r="O80" s="131"/>
      <c r="P80" s="131"/>
      <c r="Q80" s="131"/>
      <c r="R80" s="133"/>
      <c r="S80" s="455" t="str">
        <f aca="true" t="shared" si="2" ref="S80:S122">I9</f>
        <v>CMP_Ins</v>
      </c>
      <c r="T80" s="417">
        <f>ROUNDUP(W80/4,0)</f>
        <v>1</v>
      </c>
      <c r="U80" s="131">
        <f>ROUNDUP(W80/2,0)</f>
        <v>2</v>
      </c>
      <c r="V80" s="131">
        <f>ROUNDUP(W80*3/4,0)</f>
        <v>3</v>
      </c>
      <c r="W80" s="417">
        <v>3</v>
      </c>
      <c r="X80" s="131"/>
      <c r="Y80" s="131"/>
      <c r="Z80" s="131"/>
      <c r="AA80" s="134"/>
    </row>
    <row r="81" spans="2:27" ht="12.75">
      <c r="B81" s="8"/>
      <c r="C81" s="294">
        <v>4</v>
      </c>
      <c r="D81" s="291"/>
      <c r="E81" s="284"/>
      <c r="I81" s="458" t="str">
        <f t="shared" si="1"/>
        <v>CMP_Ins(C) </v>
      </c>
      <c r="J81" s="156">
        <v>0.23</v>
      </c>
      <c r="K81" s="286">
        <v>0.23</v>
      </c>
      <c r="L81" s="304"/>
      <c r="M81" s="304"/>
      <c r="N81" s="304"/>
      <c r="O81" s="304"/>
      <c r="P81" s="304"/>
      <c r="Q81" s="304"/>
      <c r="R81" s="414"/>
      <c r="S81" s="456" t="str">
        <f t="shared" si="2"/>
        <v>CMP_Ins(C) </v>
      </c>
      <c r="T81" s="417">
        <f aca="true" t="shared" si="3" ref="T81:T122">ROUNDUP(W81/4,0)</f>
        <v>5</v>
      </c>
      <c r="U81" s="124">
        <f aca="true" t="shared" si="4" ref="U81:U121">ROUNDUP(W81/2,0)</f>
        <v>10</v>
      </c>
      <c r="V81" s="131">
        <f aca="true" t="shared" si="5" ref="V81:V121">ROUNDUP(W81*3/4,0)</f>
        <v>15</v>
      </c>
      <c r="W81" s="291">
        <v>20</v>
      </c>
      <c r="X81" s="304"/>
      <c r="Y81" s="304"/>
      <c r="Z81" s="304"/>
      <c r="AA81" s="420"/>
    </row>
    <row r="82" spans="2:27" ht="12.75">
      <c r="B82" s="8"/>
      <c r="C82" s="294">
        <v>5</v>
      </c>
      <c r="D82" s="291"/>
      <c r="E82" s="284"/>
      <c r="I82" s="458" t="str">
        <f t="shared" si="1"/>
        <v>CMP_Ins(I)</v>
      </c>
      <c r="J82" s="156">
        <v>0.23</v>
      </c>
      <c r="K82" s="286">
        <v>0.23</v>
      </c>
      <c r="L82" s="304"/>
      <c r="M82" s="304"/>
      <c r="N82" s="304"/>
      <c r="O82" s="304"/>
      <c r="P82" s="304"/>
      <c r="Q82" s="304"/>
      <c r="R82" s="414"/>
      <c r="S82" s="456" t="str">
        <f t="shared" si="2"/>
        <v>CMP_Ins(I)</v>
      </c>
      <c r="T82" s="417">
        <f t="shared" si="3"/>
        <v>1</v>
      </c>
      <c r="U82" s="124">
        <f t="shared" si="4"/>
        <v>2</v>
      </c>
      <c r="V82" s="131">
        <f t="shared" si="5"/>
        <v>3</v>
      </c>
      <c r="W82" s="291">
        <v>3</v>
      </c>
      <c r="X82" s="304"/>
      <c r="Y82" s="304"/>
      <c r="Z82" s="304"/>
      <c r="AA82" s="420"/>
    </row>
    <row r="83" spans="1:27" ht="12.75">
      <c r="A83" s="8"/>
      <c r="C83" s="294">
        <v>6</v>
      </c>
      <c r="D83" s="291"/>
      <c r="E83" s="284"/>
      <c r="I83" s="458" t="str">
        <f t="shared" si="1"/>
        <v>CMP_Met</v>
      </c>
      <c r="J83" s="156">
        <v>0.23</v>
      </c>
      <c r="K83" s="286">
        <v>0.23</v>
      </c>
      <c r="L83" s="304"/>
      <c r="M83" s="304"/>
      <c r="N83" s="304"/>
      <c r="O83" s="304"/>
      <c r="P83" s="304"/>
      <c r="Q83" s="304"/>
      <c r="R83" s="414"/>
      <c r="S83" s="456" t="str">
        <f t="shared" si="2"/>
        <v>CMP_Met</v>
      </c>
      <c r="T83" s="417">
        <f t="shared" si="3"/>
        <v>4</v>
      </c>
      <c r="U83" s="124">
        <f t="shared" si="4"/>
        <v>7</v>
      </c>
      <c r="V83" s="131">
        <f t="shared" si="5"/>
        <v>10</v>
      </c>
      <c r="W83" s="291">
        <v>13</v>
      </c>
      <c r="X83" s="304"/>
      <c r="Y83" s="304"/>
      <c r="Z83" s="304"/>
      <c r="AA83" s="420"/>
    </row>
    <row r="84" spans="3:27" ht="12.75">
      <c r="C84" s="294">
        <v>7</v>
      </c>
      <c r="D84" s="292"/>
      <c r="E84" s="284"/>
      <c r="I84" s="458" t="str">
        <f t="shared" si="1"/>
        <v>CVD_Ins</v>
      </c>
      <c r="J84" s="156">
        <v>0.64</v>
      </c>
      <c r="K84" s="286">
        <v>0.64</v>
      </c>
      <c r="L84" s="304"/>
      <c r="M84" s="304"/>
      <c r="N84" s="304"/>
      <c r="O84" s="304"/>
      <c r="P84" s="304"/>
      <c r="Q84" s="304"/>
      <c r="R84" s="414"/>
      <c r="S84" s="456" t="str">
        <f t="shared" si="2"/>
        <v>CVD_Ins</v>
      </c>
      <c r="T84" s="417">
        <f t="shared" si="3"/>
        <v>1</v>
      </c>
      <c r="U84" s="124">
        <f t="shared" si="4"/>
        <v>2</v>
      </c>
      <c r="V84" s="131">
        <f t="shared" si="5"/>
        <v>3</v>
      </c>
      <c r="W84" s="291">
        <v>4</v>
      </c>
      <c r="X84" s="304"/>
      <c r="Y84" s="304"/>
      <c r="Z84" s="304"/>
      <c r="AA84" s="420"/>
    </row>
    <row r="85" spans="1:27" ht="13.5" thickBot="1">
      <c r="A85" s="275"/>
      <c r="C85" s="295">
        <v>8</v>
      </c>
      <c r="D85" s="293"/>
      <c r="E85" s="447"/>
      <c r="I85" s="458" t="str">
        <f t="shared" si="1"/>
        <v>CVD_Ins(C) </v>
      </c>
      <c r="J85" s="156">
        <v>0.64</v>
      </c>
      <c r="K85" s="286">
        <v>0.64</v>
      </c>
      <c r="L85" s="304"/>
      <c r="M85" s="304"/>
      <c r="N85" s="304"/>
      <c r="O85" s="304"/>
      <c r="P85" s="304"/>
      <c r="Q85" s="304"/>
      <c r="R85" s="414"/>
      <c r="S85" s="456" t="str">
        <f t="shared" si="2"/>
        <v>CVD_Ins(C) </v>
      </c>
      <c r="T85" s="417">
        <f t="shared" si="3"/>
        <v>3</v>
      </c>
      <c r="U85" s="124">
        <f t="shared" si="4"/>
        <v>5</v>
      </c>
      <c r="V85" s="131">
        <f t="shared" si="5"/>
        <v>8</v>
      </c>
      <c r="W85" s="291">
        <v>10</v>
      </c>
      <c r="X85" s="304"/>
      <c r="Y85" s="304"/>
      <c r="Z85" s="304"/>
      <c r="AA85" s="420"/>
    </row>
    <row r="86" spans="1:27" ht="12.75">
      <c r="A86" s="8"/>
      <c r="I86" s="458" t="str">
        <f>I15</f>
        <v>CVD_Ins(I)</v>
      </c>
      <c r="J86" s="156">
        <v>0.64</v>
      </c>
      <c r="K86" s="286">
        <v>0.64</v>
      </c>
      <c r="L86" s="304"/>
      <c r="M86" s="304"/>
      <c r="N86" s="304"/>
      <c r="O86" s="304"/>
      <c r="P86" s="304"/>
      <c r="Q86" s="304"/>
      <c r="R86" s="414"/>
      <c r="S86" s="456" t="str">
        <f>I15</f>
        <v>CVD_Ins(I)</v>
      </c>
      <c r="T86" s="417">
        <f t="shared" si="3"/>
        <v>1</v>
      </c>
      <c r="U86" s="124">
        <f t="shared" si="4"/>
        <v>2</v>
      </c>
      <c r="V86" s="131">
        <f t="shared" si="5"/>
        <v>3</v>
      </c>
      <c r="W86" s="291">
        <v>3</v>
      </c>
      <c r="X86" s="304"/>
      <c r="Y86" s="304"/>
      <c r="Z86" s="304"/>
      <c r="AA86" s="420"/>
    </row>
    <row r="87" spans="1:27" ht="12.75">
      <c r="A87" s="8"/>
      <c r="I87" s="458" t="str">
        <f t="shared" si="1"/>
        <v>CVD_Ins_Thin</v>
      </c>
      <c r="J87" s="156">
        <v>0.64</v>
      </c>
      <c r="K87" s="286">
        <v>0.64</v>
      </c>
      <c r="L87" s="304"/>
      <c r="M87" s="304"/>
      <c r="N87" s="304"/>
      <c r="O87" s="304"/>
      <c r="P87" s="304"/>
      <c r="Q87" s="304"/>
      <c r="R87" s="414"/>
      <c r="S87" s="456" t="str">
        <f t="shared" si="2"/>
        <v>CVD_Ins_Thin</v>
      </c>
      <c r="T87" s="417">
        <f t="shared" si="3"/>
        <v>1</v>
      </c>
      <c r="U87" s="124">
        <f t="shared" si="4"/>
        <v>1</v>
      </c>
      <c r="V87" s="131">
        <f t="shared" si="5"/>
        <v>2</v>
      </c>
      <c r="W87" s="291">
        <v>2</v>
      </c>
      <c r="X87" s="304"/>
      <c r="Y87" s="304"/>
      <c r="Z87" s="304"/>
      <c r="AA87" s="420"/>
    </row>
    <row r="88" spans="1:27" ht="12.75">
      <c r="A88" s="8"/>
      <c r="C88" s="386" t="s">
        <v>557</v>
      </c>
      <c r="I88" s="458" t="str">
        <f t="shared" si="1"/>
        <v>CVD_Met</v>
      </c>
      <c r="J88" s="156">
        <v>0.48</v>
      </c>
      <c r="K88" s="286">
        <v>0.48</v>
      </c>
      <c r="L88" s="304"/>
      <c r="M88" s="304"/>
      <c r="N88" s="304"/>
      <c r="O88" s="304"/>
      <c r="P88" s="304"/>
      <c r="Q88" s="304"/>
      <c r="R88" s="414"/>
      <c r="S88" s="456" t="str">
        <f t="shared" si="2"/>
        <v>CVD_Met</v>
      </c>
      <c r="T88" s="417">
        <f t="shared" si="3"/>
        <v>1</v>
      </c>
      <c r="U88" s="124">
        <f t="shared" si="4"/>
        <v>1</v>
      </c>
      <c r="V88" s="131">
        <f t="shared" si="5"/>
        <v>2</v>
      </c>
      <c r="W88" s="291">
        <v>2</v>
      </c>
      <c r="X88" s="304"/>
      <c r="Y88" s="304"/>
      <c r="Z88" s="304"/>
      <c r="AA88" s="420"/>
    </row>
    <row r="89" spans="1:27" ht="12.75">
      <c r="A89" s="8"/>
      <c r="C89" s="103" t="s">
        <v>554</v>
      </c>
      <c r="I89" s="458" t="str">
        <f t="shared" si="1"/>
        <v>CVD_Met(C) </v>
      </c>
      <c r="J89" s="156">
        <v>0.48</v>
      </c>
      <c r="K89" s="286">
        <v>0.48</v>
      </c>
      <c r="L89" s="304"/>
      <c r="M89" s="304"/>
      <c r="N89" s="304"/>
      <c r="O89" s="304"/>
      <c r="P89" s="304"/>
      <c r="Q89" s="304"/>
      <c r="R89" s="414"/>
      <c r="S89" s="456" t="str">
        <f t="shared" si="2"/>
        <v>CVD_Met(C) </v>
      </c>
      <c r="T89" s="417">
        <f t="shared" si="3"/>
        <v>2</v>
      </c>
      <c r="U89" s="124">
        <f t="shared" si="4"/>
        <v>3</v>
      </c>
      <c r="V89" s="131">
        <f t="shared" si="5"/>
        <v>4</v>
      </c>
      <c r="W89" s="291">
        <v>5</v>
      </c>
      <c r="X89" s="304"/>
      <c r="Y89" s="304"/>
      <c r="Z89" s="304"/>
      <c r="AA89" s="420"/>
    </row>
    <row r="90" spans="3:27" ht="12.75">
      <c r="C90" s="103" t="s">
        <v>555</v>
      </c>
      <c r="I90" s="458" t="str">
        <f t="shared" si="1"/>
        <v>CVD_MetW</v>
      </c>
      <c r="J90" s="156">
        <v>0.48</v>
      </c>
      <c r="K90" s="286">
        <v>0.48</v>
      </c>
      <c r="L90" s="304"/>
      <c r="M90" s="304"/>
      <c r="N90" s="304"/>
      <c r="O90" s="304"/>
      <c r="P90" s="304"/>
      <c r="Q90" s="304"/>
      <c r="R90" s="414"/>
      <c r="S90" s="456" t="str">
        <f t="shared" si="2"/>
        <v>CVD_MetW</v>
      </c>
      <c r="T90" s="417">
        <f t="shared" si="3"/>
        <v>1</v>
      </c>
      <c r="U90" s="124">
        <f t="shared" si="4"/>
        <v>1</v>
      </c>
      <c r="V90" s="131">
        <f t="shared" si="5"/>
        <v>2</v>
      </c>
      <c r="W90" s="291">
        <v>2</v>
      </c>
      <c r="X90" s="304"/>
      <c r="Y90" s="304"/>
      <c r="Z90" s="304"/>
      <c r="AA90" s="420"/>
    </row>
    <row r="91" spans="3:27" ht="12.75">
      <c r="C91" s="103" t="s">
        <v>556</v>
      </c>
      <c r="I91" s="458" t="str">
        <f t="shared" si="1"/>
        <v>CVD_MetW(C) </v>
      </c>
      <c r="J91" s="156">
        <v>0.48</v>
      </c>
      <c r="K91" s="286">
        <v>0.48</v>
      </c>
      <c r="L91" s="304"/>
      <c r="M91" s="304"/>
      <c r="N91" s="304"/>
      <c r="O91" s="304"/>
      <c r="P91" s="304"/>
      <c r="Q91" s="304"/>
      <c r="R91" s="414"/>
      <c r="S91" s="456" t="str">
        <f t="shared" si="2"/>
        <v>CVD_MetW(C) </v>
      </c>
      <c r="T91" s="417">
        <f t="shared" si="3"/>
        <v>2</v>
      </c>
      <c r="U91" s="124">
        <f t="shared" si="4"/>
        <v>3</v>
      </c>
      <c r="V91" s="131">
        <f t="shared" si="5"/>
        <v>4</v>
      </c>
      <c r="W91" s="291">
        <v>5</v>
      </c>
      <c r="X91" s="304"/>
      <c r="Y91" s="304"/>
      <c r="Z91" s="304"/>
      <c r="AA91" s="420"/>
    </row>
    <row r="92" spans="9:27" ht="12.75">
      <c r="I92" s="458" t="str">
        <f t="shared" si="1"/>
        <v>Dry_Etch</v>
      </c>
      <c r="J92" s="156">
        <v>0.59</v>
      </c>
      <c r="K92" s="286">
        <v>0.59</v>
      </c>
      <c r="L92" s="304"/>
      <c r="M92" s="304"/>
      <c r="N92" s="304"/>
      <c r="O92" s="304"/>
      <c r="P92" s="304"/>
      <c r="Q92" s="304"/>
      <c r="R92" s="414"/>
      <c r="S92" s="456" t="str">
        <f t="shared" si="2"/>
        <v>Dry_Etch</v>
      </c>
      <c r="T92" s="417">
        <f t="shared" si="3"/>
        <v>1</v>
      </c>
      <c r="U92" s="124">
        <f t="shared" si="4"/>
        <v>2</v>
      </c>
      <c r="V92" s="131">
        <f t="shared" si="5"/>
        <v>3</v>
      </c>
      <c r="W92" s="291">
        <v>3</v>
      </c>
      <c r="X92" s="304"/>
      <c r="Y92" s="304"/>
      <c r="Z92" s="304"/>
      <c r="AA92" s="420"/>
    </row>
    <row r="93" spans="3:27" ht="12.75">
      <c r="C93" s="273" t="s">
        <v>552</v>
      </c>
      <c r="I93" s="458" t="str">
        <f t="shared" si="1"/>
        <v>Dry_Etch(A)</v>
      </c>
      <c r="J93" s="156">
        <v>0.53</v>
      </c>
      <c r="K93" s="286">
        <v>0.53</v>
      </c>
      <c r="L93" s="304"/>
      <c r="M93" s="304"/>
      <c r="N93" s="304"/>
      <c r="O93" s="304"/>
      <c r="P93" s="304"/>
      <c r="Q93" s="304"/>
      <c r="R93" s="414"/>
      <c r="S93" s="456" t="str">
        <f t="shared" si="2"/>
        <v>Dry_Etch(A)</v>
      </c>
      <c r="T93" s="417">
        <f t="shared" si="3"/>
        <v>1</v>
      </c>
      <c r="U93" s="124">
        <f t="shared" si="4"/>
        <v>2</v>
      </c>
      <c r="V93" s="131">
        <f t="shared" si="5"/>
        <v>3</v>
      </c>
      <c r="W93" s="291">
        <v>3</v>
      </c>
      <c r="X93" s="304"/>
      <c r="Y93" s="304"/>
      <c r="Z93" s="304"/>
      <c r="AA93" s="420"/>
    </row>
    <row r="94" spans="9:27" ht="12.75">
      <c r="I94" s="458" t="str">
        <f t="shared" si="1"/>
        <v>Dry_Etch(C) </v>
      </c>
      <c r="J94" s="156">
        <v>0.53</v>
      </c>
      <c r="K94" s="286">
        <v>0.53</v>
      </c>
      <c r="L94" s="304"/>
      <c r="M94" s="304"/>
      <c r="N94" s="304"/>
      <c r="O94" s="304"/>
      <c r="P94" s="304"/>
      <c r="Q94" s="304"/>
      <c r="R94" s="414"/>
      <c r="S94" s="456" t="str">
        <f t="shared" si="2"/>
        <v>Dry_Etch(C) </v>
      </c>
      <c r="T94" s="417">
        <f t="shared" si="3"/>
        <v>4</v>
      </c>
      <c r="U94" s="124">
        <f t="shared" si="4"/>
        <v>7</v>
      </c>
      <c r="V94" s="131">
        <f t="shared" si="5"/>
        <v>11</v>
      </c>
      <c r="W94" s="291">
        <v>14</v>
      </c>
      <c r="X94" s="304"/>
      <c r="Y94" s="304"/>
      <c r="Z94" s="304"/>
      <c r="AA94" s="420"/>
    </row>
    <row r="95" spans="9:27" ht="12.75">
      <c r="I95" s="458" t="str">
        <f t="shared" si="1"/>
        <v>Dry_Etch(I)</v>
      </c>
      <c r="J95" s="156">
        <v>0.53</v>
      </c>
      <c r="K95" s="286">
        <v>0.53</v>
      </c>
      <c r="L95" s="304"/>
      <c r="M95" s="304"/>
      <c r="N95" s="304"/>
      <c r="O95" s="304"/>
      <c r="P95" s="304"/>
      <c r="Q95" s="304"/>
      <c r="R95" s="414"/>
      <c r="S95" s="456" t="str">
        <f t="shared" si="2"/>
        <v>Dry_Etch(I)</v>
      </c>
      <c r="T95" s="417">
        <f t="shared" si="3"/>
        <v>2</v>
      </c>
      <c r="U95" s="124">
        <f t="shared" si="4"/>
        <v>4</v>
      </c>
      <c r="V95" s="131">
        <f t="shared" si="5"/>
        <v>6</v>
      </c>
      <c r="W95" s="291">
        <v>7</v>
      </c>
      <c r="X95" s="304"/>
      <c r="Y95" s="304"/>
      <c r="Z95" s="304"/>
      <c r="AA95" s="420"/>
    </row>
    <row r="96" spans="1:27" ht="15.75">
      <c r="A96" s="138" t="s">
        <v>460</v>
      </c>
      <c r="I96" s="458" t="str">
        <f t="shared" si="1"/>
        <v>Dry_Etch_Met</v>
      </c>
      <c r="J96" s="156">
        <v>0.59</v>
      </c>
      <c r="K96" s="286">
        <v>0.59</v>
      </c>
      <c r="L96" s="304"/>
      <c r="M96" s="304"/>
      <c r="N96" s="304"/>
      <c r="O96" s="304"/>
      <c r="P96" s="304"/>
      <c r="Q96" s="304"/>
      <c r="R96" s="414"/>
      <c r="S96" s="456" t="str">
        <f t="shared" si="2"/>
        <v>Dry_Etch_Met</v>
      </c>
      <c r="T96" s="417">
        <f t="shared" si="3"/>
        <v>3</v>
      </c>
      <c r="U96" s="124">
        <f t="shared" si="4"/>
        <v>5</v>
      </c>
      <c r="V96" s="131">
        <f t="shared" si="5"/>
        <v>8</v>
      </c>
      <c r="W96" s="291">
        <v>10</v>
      </c>
      <c r="X96" s="304"/>
      <c r="Y96" s="304"/>
      <c r="Z96" s="304"/>
      <c r="AA96" s="420"/>
    </row>
    <row r="97" spans="9:27" ht="12.75">
      <c r="I97" s="458" t="str">
        <f t="shared" si="1"/>
        <v>Dry_Strip</v>
      </c>
      <c r="J97" s="156">
        <v>0.65</v>
      </c>
      <c r="K97" s="286">
        <v>0.65</v>
      </c>
      <c r="L97" s="304"/>
      <c r="M97" s="304"/>
      <c r="N97" s="304"/>
      <c r="O97" s="304"/>
      <c r="P97" s="304"/>
      <c r="Q97" s="304"/>
      <c r="R97" s="414"/>
      <c r="S97" s="456" t="str">
        <f t="shared" si="2"/>
        <v>Dry_Strip</v>
      </c>
      <c r="T97" s="417">
        <f t="shared" si="3"/>
        <v>1</v>
      </c>
      <c r="U97" s="124">
        <f t="shared" si="4"/>
        <v>1</v>
      </c>
      <c r="V97" s="131">
        <f t="shared" si="5"/>
        <v>2</v>
      </c>
      <c r="W97" s="291">
        <v>2</v>
      </c>
      <c r="X97" s="304"/>
      <c r="Y97" s="304"/>
      <c r="Z97" s="304"/>
      <c r="AA97" s="420"/>
    </row>
    <row r="98" spans="2:27" ht="12.75">
      <c r="B98" s="386" t="s">
        <v>459</v>
      </c>
      <c r="F98" s="273" t="s">
        <v>429</v>
      </c>
      <c r="I98" s="458" t="str">
        <f t="shared" si="1"/>
        <v>Dry_Strip(D)</v>
      </c>
      <c r="J98" s="156">
        <v>0.65</v>
      </c>
      <c r="K98" s="286">
        <v>0.65</v>
      </c>
      <c r="L98" s="304"/>
      <c r="M98" s="304"/>
      <c r="N98" s="304"/>
      <c r="O98" s="304"/>
      <c r="P98" s="304"/>
      <c r="Q98" s="304"/>
      <c r="R98" s="414"/>
      <c r="S98" s="456" t="str">
        <f t="shared" si="2"/>
        <v>Dry_Strip(D)</v>
      </c>
      <c r="T98" s="417">
        <f t="shared" si="3"/>
        <v>1</v>
      </c>
      <c r="U98" s="124">
        <f t="shared" si="4"/>
        <v>1</v>
      </c>
      <c r="V98" s="131">
        <f t="shared" si="5"/>
        <v>2</v>
      </c>
      <c r="W98" s="291">
        <v>2</v>
      </c>
      <c r="X98" s="304"/>
      <c r="Y98" s="304"/>
      <c r="Z98" s="304"/>
      <c r="AA98" s="420"/>
    </row>
    <row r="99" spans="2:27" ht="12.75">
      <c r="B99" s="273" t="s">
        <v>432</v>
      </c>
      <c r="I99" s="458" t="str">
        <f t="shared" si="1"/>
        <v>Dry_Strip(I)</v>
      </c>
      <c r="J99" s="156">
        <v>0.65</v>
      </c>
      <c r="K99" s="286">
        <v>0.65</v>
      </c>
      <c r="L99" s="304"/>
      <c r="M99" s="304"/>
      <c r="N99" s="304"/>
      <c r="O99" s="304"/>
      <c r="P99" s="304"/>
      <c r="Q99" s="304"/>
      <c r="R99" s="414"/>
      <c r="S99" s="456" t="str">
        <f t="shared" si="2"/>
        <v>Dry_Strip(I)</v>
      </c>
      <c r="T99" s="417">
        <f t="shared" si="3"/>
        <v>2</v>
      </c>
      <c r="U99" s="124">
        <f t="shared" si="4"/>
        <v>3</v>
      </c>
      <c r="V99" s="131">
        <f t="shared" si="5"/>
        <v>5</v>
      </c>
      <c r="W99" s="291">
        <v>6</v>
      </c>
      <c r="X99" s="304"/>
      <c r="Y99" s="304"/>
      <c r="Z99" s="304"/>
      <c r="AA99" s="420"/>
    </row>
    <row r="100" spans="2:27" ht="12.75">
      <c r="B100" s="103" t="s">
        <v>454</v>
      </c>
      <c r="I100" s="458" t="str">
        <f t="shared" si="1"/>
        <v>Furn_FastRmp</v>
      </c>
      <c r="J100" s="156">
        <v>0.5</v>
      </c>
      <c r="K100" s="286">
        <v>0.5</v>
      </c>
      <c r="L100" s="304"/>
      <c r="M100" s="304"/>
      <c r="N100" s="304"/>
      <c r="O100" s="304"/>
      <c r="P100" s="304"/>
      <c r="Q100" s="304"/>
      <c r="R100" s="414"/>
      <c r="S100" s="456" t="str">
        <f t="shared" si="2"/>
        <v>Furn_FastRmp</v>
      </c>
      <c r="T100" s="417">
        <f t="shared" si="3"/>
        <v>3</v>
      </c>
      <c r="U100" s="124">
        <f t="shared" si="4"/>
        <v>5</v>
      </c>
      <c r="V100" s="131">
        <f t="shared" si="5"/>
        <v>7</v>
      </c>
      <c r="W100" s="291">
        <v>9</v>
      </c>
      <c r="X100" s="304"/>
      <c r="Y100" s="304"/>
      <c r="Z100" s="304"/>
      <c r="AA100" s="420"/>
    </row>
    <row r="101" spans="2:27" ht="12.75">
      <c r="B101" s="103" t="s">
        <v>455</v>
      </c>
      <c r="I101" s="458" t="str">
        <f t="shared" si="1"/>
        <v>Furn_Nitr</v>
      </c>
      <c r="J101" s="156">
        <v>0.5</v>
      </c>
      <c r="K101" s="286">
        <v>0.5</v>
      </c>
      <c r="L101" s="304"/>
      <c r="M101" s="304"/>
      <c r="N101" s="304"/>
      <c r="O101" s="304"/>
      <c r="P101" s="304"/>
      <c r="Q101" s="304"/>
      <c r="R101" s="414"/>
      <c r="S101" s="456" t="str">
        <f t="shared" si="2"/>
        <v>Furn_Nitr</v>
      </c>
      <c r="T101" s="417">
        <f t="shared" si="3"/>
        <v>1</v>
      </c>
      <c r="U101" s="124">
        <f t="shared" si="4"/>
        <v>2</v>
      </c>
      <c r="V101" s="131">
        <f t="shared" si="5"/>
        <v>3</v>
      </c>
      <c r="W101" s="291">
        <v>3</v>
      </c>
      <c r="X101" s="304"/>
      <c r="Y101" s="304"/>
      <c r="Z101" s="304"/>
      <c r="AA101" s="420"/>
    </row>
    <row r="102" spans="2:27" ht="12.75">
      <c r="B102" s="103" t="s">
        <v>443</v>
      </c>
      <c r="I102" s="458" t="str">
        <f t="shared" si="1"/>
        <v>Furn_OxAn</v>
      </c>
      <c r="J102" s="156">
        <v>0.5</v>
      </c>
      <c r="K102" s="286">
        <v>0.5</v>
      </c>
      <c r="L102" s="304"/>
      <c r="M102" s="304"/>
      <c r="N102" s="304"/>
      <c r="O102" s="304"/>
      <c r="P102" s="304"/>
      <c r="Q102" s="304"/>
      <c r="R102" s="414"/>
      <c r="S102" s="456" t="str">
        <f t="shared" si="2"/>
        <v>Furn_OxAn</v>
      </c>
      <c r="T102" s="417">
        <f t="shared" si="3"/>
        <v>4</v>
      </c>
      <c r="U102" s="124">
        <f t="shared" si="4"/>
        <v>7</v>
      </c>
      <c r="V102" s="131">
        <f t="shared" si="5"/>
        <v>11</v>
      </c>
      <c r="W102" s="291">
        <v>14</v>
      </c>
      <c r="X102" s="304"/>
      <c r="Y102" s="304"/>
      <c r="Z102" s="304"/>
      <c r="AA102" s="420"/>
    </row>
    <row r="103" spans="9:27" ht="12.75">
      <c r="I103" s="458" t="str">
        <f t="shared" si="1"/>
        <v>Furn_OxAn(I)</v>
      </c>
      <c r="J103" s="156">
        <v>0.5</v>
      </c>
      <c r="K103" s="286">
        <v>0.5</v>
      </c>
      <c r="L103" s="304"/>
      <c r="M103" s="304"/>
      <c r="N103" s="304"/>
      <c r="O103" s="304"/>
      <c r="P103" s="304"/>
      <c r="Q103" s="304"/>
      <c r="R103" s="414"/>
      <c r="S103" s="456" t="str">
        <f t="shared" si="2"/>
        <v>Furn_OxAn(I)</v>
      </c>
      <c r="T103" s="417">
        <f t="shared" si="3"/>
        <v>1</v>
      </c>
      <c r="U103" s="124">
        <f t="shared" si="4"/>
        <v>2</v>
      </c>
      <c r="V103" s="131">
        <f t="shared" si="5"/>
        <v>3</v>
      </c>
      <c r="W103" s="291">
        <v>4</v>
      </c>
      <c r="X103" s="304"/>
      <c r="Y103" s="304"/>
      <c r="Z103" s="304"/>
      <c r="AA103" s="420"/>
    </row>
    <row r="104" spans="9:27" ht="12.75">
      <c r="I104" s="458" t="str">
        <f t="shared" si="1"/>
        <v>Furn_Poly</v>
      </c>
      <c r="J104" s="156">
        <v>0.5</v>
      </c>
      <c r="K104" s="286">
        <v>0.5</v>
      </c>
      <c r="L104" s="304"/>
      <c r="M104" s="304"/>
      <c r="N104" s="304"/>
      <c r="O104" s="304"/>
      <c r="P104" s="304"/>
      <c r="Q104" s="304"/>
      <c r="R104" s="414"/>
      <c r="S104" s="456" t="str">
        <f t="shared" si="2"/>
        <v>Furn_Poly</v>
      </c>
      <c r="T104" s="417">
        <f t="shared" si="3"/>
        <v>1</v>
      </c>
      <c r="U104" s="124">
        <f t="shared" si="4"/>
        <v>2</v>
      </c>
      <c r="V104" s="131">
        <f t="shared" si="5"/>
        <v>3</v>
      </c>
      <c r="W104" s="291">
        <v>3</v>
      </c>
      <c r="X104" s="304"/>
      <c r="Y104" s="304"/>
      <c r="Z104" s="304"/>
      <c r="AA104" s="420"/>
    </row>
    <row r="105" spans="9:27" ht="12.75">
      <c r="I105" s="458" t="str">
        <f t="shared" si="1"/>
        <v>Furn_TEOS</v>
      </c>
      <c r="J105" s="156">
        <v>0.5</v>
      </c>
      <c r="K105" s="286">
        <v>0.5</v>
      </c>
      <c r="L105" s="304"/>
      <c r="M105" s="304"/>
      <c r="N105" s="304"/>
      <c r="O105" s="304"/>
      <c r="P105" s="304"/>
      <c r="Q105" s="304"/>
      <c r="R105" s="414"/>
      <c r="S105" s="456" t="str">
        <f t="shared" si="2"/>
        <v>Furn_TEOS</v>
      </c>
      <c r="T105" s="417">
        <f t="shared" si="3"/>
        <v>1</v>
      </c>
      <c r="U105" s="124">
        <f t="shared" si="4"/>
        <v>2</v>
      </c>
      <c r="V105" s="131">
        <f t="shared" si="5"/>
        <v>3</v>
      </c>
      <c r="W105" s="291">
        <v>3</v>
      </c>
      <c r="X105" s="304"/>
      <c r="Y105" s="304"/>
      <c r="Z105" s="304"/>
      <c r="AA105" s="420"/>
    </row>
    <row r="106" spans="9:27" ht="12.75">
      <c r="I106" s="458" t="str">
        <f t="shared" si="1"/>
        <v>Implant_HiE</v>
      </c>
      <c r="J106" s="156">
        <v>0.37</v>
      </c>
      <c r="K106" s="286">
        <v>0.37</v>
      </c>
      <c r="L106" s="304"/>
      <c r="M106" s="304"/>
      <c r="N106" s="304"/>
      <c r="O106" s="304"/>
      <c r="P106" s="304"/>
      <c r="Q106" s="304"/>
      <c r="R106" s="414"/>
      <c r="S106" s="456" t="str">
        <f t="shared" si="2"/>
        <v>Implant_HiE</v>
      </c>
      <c r="T106" s="417">
        <f t="shared" si="3"/>
        <v>1</v>
      </c>
      <c r="U106" s="124">
        <f t="shared" si="4"/>
        <v>1</v>
      </c>
      <c r="V106" s="131">
        <f t="shared" si="5"/>
        <v>2</v>
      </c>
      <c r="W106" s="291">
        <v>2</v>
      </c>
      <c r="X106" s="304"/>
      <c r="Y106" s="304"/>
      <c r="Z106" s="304"/>
      <c r="AA106" s="420"/>
    </row>
    <row r="107" spans="9:27" ht="12.75">
      <c r="I107" s="458" t="str">
        <f t="shared" si="1"/>
        <v>Implant_LoE</v>
      </c>
      <c r="J107" s="156">
        <v>0.42</v>
      </c>
      <c r="K107" s="286">
        <v>0.42</v>
      </c>
      <c r="L107" s="304"/>
      <c r="M107" s="304"/>
      <c r="N107" s="304"/>
      <c r="O107" s="304"/>
      <c r="P107" s="304"/>
      <c r="Q107" s="304"/>
      <c r="R107" s="414"/>
      <c r="S107" s="456" t="str">
        <f t="shared" si="2"/>
        <v>Implant_LoE</v>
      </c>
      <c r="T107" s="417">
        <f t="shared" si="3"/>
        <v>1</v>
      </c>
      <c r="U107" s="124">
        <f t="shared" si="4"/>
        <v>2</v>
      </c>
      <c r="V107" s="131">
        <f t="shared" si="5"/>
        <v>3</v>
      </c>
      <c r="W107" s="291">
        <v>4</v>
      </c>
      <c r="X107" s="304"/>
      <c r="Y107" s="304"/>
      <c r="Z107" s="304"/>
      <c r="AA107" s="420"/>
    </row>
    <row r="108" spans="2:27" ht="12.75">
      <c r="B108" s="386" t="s">
        <v>450</v>
      </c>
      <c r="F108" s="273" t="s">
        <v>429</v>
      </c>
      <c r="I108" s="458" t="str">
        <f t="shared" si="1"/>
        <v>Insp_PLY</v>
      </c>
      <c r="J108" s="156">
        <v>0.3</v>
      </c>
      <c r="K108" s="286">
        <v>0.3</v>
      </c>
      <c r="L108" s="304"/>
      <c r="M108" s="304"/>
      <c r="N108" s="304"/>
      <c r="O108" s="304"/>
      <c r="P108" s="304"/>
      <c r="Q108" s="304"/>
      <c r="R108" s="414"/>
      <c r="S108" s="456" t="str">
        <f t="shared" si="2"/>
        <v>Insp_PLY</v>
      </c>
      <c r="T108" s="417">
        <f t="shared" si="3"/>
        <v>7</v>
      </c>
      <c r="U108" s="124">
        <f t="shared" si="4"/>
        <v>13</v>
      </c>
      <c r="V108" s="131">
        <f t="shared" si="5"/>
        <v>19</v>
      </c>
      <c r="W108" s="291">
        <v>25</v>
      </c>
      <c r="X108" s="304"/>
      <c r="Y108" s="304"/>
      <c r="Z108" s="304"/>
      <c r="AA108" s="420"/>
    </row>
    <row r="109" spans="2:27" ht="12.75">
      <c r="B109" s="273" t="s">
        <v>432</v>
      </c>
      <c r="I109" s="458" t="str">
        <f t="shared" si="1"/>
        <v>Insp_Visual</v>
      </c>
      <c r="J109" s="156">
        <v>0.35</v>
      </c>
      <c r="K109" s="286">
        <v>0.35</v>
      </c>
      <c r="L109" s="304"/>
      <c r="M109" s="304"/>
      <c r="N109" s="304"/>
      <c r="O109" s="304"/>
      <c r="P109" s="304"/>
      <c r="Q109" s="304"/>
      <c r="R109" s="414"/>
      <c r="S109" s="456" t="str">
        <f t="shared" si="2"/>
        <v>Insp_Visual</v>
      </c>
      <c r="T109" s="417">
        <f t="shared" si="3"/>
        <v>1</v>
      </c>
      <c r="U109" s="124">
        <f t="shared" si="4"/>
        <v>1</v>
      </c>
      <c r="V109" s="131">
        <f t="shared" si="5"/>
        <v>1</v>
      </c>
      <c r="W109" s="291">
        <v>1</v>
      </c>
      <c r="X109" s="304"/>
      <c r="Y109" s="304"/>
      <c r="Z109" s="304"/>
      <c r="AA109" s="420"/>
    </row>
    <row r="110" spans="2:27" ht="12.75">
      <c r="B110" s="103" t="s">
        <v>461</v>
      </c>
      <c r="I110" s="458" t="str">
        <f t="shared" si="1"/>
        <v>Litho_248</v>
      </c>
      <c r="J110" s="156">
        <v>0.8</v>
      </c>
      <c r="K110" s="286">
        <v>0.8</v>
      </c>
      <c r="L110" s="304"/>
      <c r="M110" s="304"/>
      <c r="N110" s="304"/>
      <c r="O110" s="304"/>
      <c r="P110" s="304"/>
      <c r="Q110" s="304"/>
      <c r="R110" s="414"/>
      <c r="S110" s="456" t="str">
        <f t="shared" si="2"/>
        <v>Litho_248</v>
      </c>
      <c r="T110" s="417">
        <f t="shared" si="3"/>
        <v>1</v>
      </c>
      <c r="U110" s="124">
        <f t="shared" si="4"/>
        <v>2</v>
      </c>
      <c r="V110" s="131">
        <f t="shared" si="5"/>
        <v>3</v>
      </c>
      <c r="W110" s="291">
        <v>4</v>
      </c>
      <c r="X110" s="304"/>
      <c r="Y110" s="304"/>
      <c r="Z110" s="304"/>
      <c r="AA110" s="420"/>
    </row>
    <row r="111" spans="2:27" ht="12.75">
      <c r="B111" s="103" t="s">
        <v>456</v>
      </c>
      <c r="I111" s="458" t="str">
        <f t="shared" si="1"/>
        <v>Litho_I</v>
      </c>
      <c r="J111" s="156">
        <v>0.8</v>
      </c>
      <c r="K111" s="286">
        <v>0.8</v>
      </c>
      <c r="L111" s="304"/>
      <c r="M111" s="304"/>
      <c r="N111" s="304"/>
      <c r="O111" s="304"/>
      <c r="P111" s="304"/>
      <c r="Q111" s="304"/>
      <c r="R111" s="414"/>
      <c r="S111" s="456" t="str">
        <f t="shared" si="2"/>
        <v>Litho_I</v>
      </c>
      <c r="T111" s="417">
        <f t="shared" si="3"/>
        <v>3</v>
      </c>
      <c r="U111" s="124">
        <f t="shared" si="4"/>
        <v>6</v>
      </c>
      <c r="V111" s="131">
        <f t="shared" si="5"/>
        <v>9</v>
      </c>
      <c r="W111" s="291">
        <v>11</v>
      </c>
      <c r="X111" s="304"/>
      <c r="Y111" s="304"/>
      <c r="Z111" s="304"/>
      <c r="AA111" s="420"/>
    </row>
    <row r="112" spans="2:27" ht="12.75">
      <c r="B112" s="103" t="s">
        <v>443</v>
      </c>
      <c r="I112" s="458" t="str">
        <f t="shared" si="1"/>
        <v>Litho_Iw</v>
      </c>
      <c r="J112" s="156">
        <v>0.8</v>
      </c>
      <c r="K112" s="286">
        <v>0.8</v>
      </c>
      <c r="L112" s="304"/>
      <c r="M112" s="304"/>
      <c r="N112" s="304"/>
      <c r="O112" s="304"/>
      <c r="P112" s="304"/>
      <c r="Q112" s="304"/>
      <c r="R112" s="414"/>
      <c r="S112" s="456" t="str">
        <f t="shared" si="2"/>
        <v>Litho_Iw</v>
      </c>
      <c r="T112" s="417">
        <f t="shared" si="3"/>
        <v>3</v>
      </c>
      <c r="U112" s="124">
        <f t="shared" si="4"/>
        <v>6</v>
      </c>
      <c r="V112" s="131">
        <f t="shared" si="5"/>
        <v>9</v>
      </c>
      <c r="W112" s="291">
        <v>11</v>
      </c>
      <c r="X112" s="304"/>
      <c r="Y112" s="304"/>
      <c r="Z112" s="304"/>
      <c r="AA112" s="420"/>
    </row>
    <row r="113" spans="9:27" ht="12.75">
      <c r="I113" s="458" t="str">
        <f t="shared" si="1"/>
        <v>Meas_CD</v>
      </c>
      <c r="J113" s="156">
        <v>0.35</v>
      </c>
      <c r="K113" s="286">
        <v>0.35</v>
      </c>
      <c r="L113" s="304"/>
      <c r="M113" s="304"/>
      <c r="N113" s="304"/>
      <c r="O113" s="304"/>
      <c r="P113" s="304"/>
      <c r="Q113" s="304"/>
      <c r="R113" s="414"/>
      <c r="S113" s="456" t="str">
        <f t="shared" si="2"/>
        <v>Meas_CD</v>
      </c>
      <c r="T113" s="417">
        <f t="shared" si="3"/>
        <v>4</v>
      </c>
      <c r="U113" s="124">
        <f t="shared" si="4"/>
        <v>8</v>
      </c>
      <c r="V113" s="131">
        <f t="shared" si="5"/>
        <v>12</v>
      </c>
      <c r="W113" s="291">
        <v>15</v>
      </c>
      <c r="X113" s="304"/>
      <c r="Y113" s="304"/>
      <c r="Z113" s="304"/>
      <c r="AA113" s="420"/>
    </row>
    <row r="114" spans="9:27" ht="12.75">
      <c r="I114" s="458" t="str">
        <f t="shared" si="1"/>
        <v>Meas_Film</v>
      </c>
      <c r="J114" s="156">
        <v>0.35</v>
      </c>
      <c r="K114" s="286">
        <v>0.35</v>
      </c>
      <c r="L114" s="304"/>
      <c r="M114" s="304"/>
      <c r="N114" s="304"/>
      <c r="O114" s="304"/>
      <c r="P114" s="304"/>
      <c r="Q114" s="304"/>
      <c r="R114" s="414"/>
      <c r="S114" s="456" t="str">
        <f t="shared" si="2"/>
        <v>Meas_Film</v>
      </c>
      <c r="T114" s="417">
        <f t="shared" si="3"/>
        <v>3</v>
      </c>
      <c r="U114" s="124">
        <f t="shared" si="4"/>
        <v>6</v>
      </c>
      <c r="V114" s="131">
        <f t="shared" si="5"/>
        <v>9</v>
      </c>
      <c r="W114" s="291">
        <v>12</v>
      </c>
      <c r="X114" s="304"/>
      <c r="Y114" s="304"/>
      <c r="Z114" s="304"/>
      <c r="AA114" s="420"/>
    </row>
    <row r="115" spans="9:27" ht="12.75">
      <c r="I115" s="458" t="str">
        <f t="shared" si="1"/>
        <v>Meas_Overlay</v>
      </c>
      <c r="J115" s="156">
        <v>0.3</v>
      </c>
      <c r="K115" s="286">
        <v>0.3</v>
      </c>
      <c r="L115" s="304"/>
      <c r="M115" s="304"/>
      <c r="N115" s="304"/>
      <c r="O115" s="304"/>
      <c r="P115" s="304"/>
      <c r="Q115" s="304"/>
      <c r="R115" s="414"/>
      <c r="S115" s="456" t="str">
        <f t="shared" si="2"/>
        <v>Meas_Overlay</v>
      </c>
      <c r="T115" s="417">
        <f t="shared" si="3"/>
        <v>3</v>
      </c>
      <c r="U115" s="124">
        <f t="shared" si="4"/>
        <v>6</v>
      </c>
      <c r="V115" s="131">
        <f t="shared" si="5"/>
        <v>9</v>
      </c>
      <c r="W115" s="291">
        <v>11</v>
      </c>
      <c r="X115" s="304"/>
      <c r="Y115" s="304"/>
      <c r="Z115" s="304"/>
      <c r="AA115" s="420"/>
    </row>
    <row r="116" spans="9:27" ht="12.75">
      <c r="I116" s="458" t="str">
        <f t="shared" si="1"/>
        <v>PVD_Met</v>
      </c>
      <c r="J116" s="156">
        <v>0.51</v>
      </c>
      <c r="K116" s="286">
        <v>0.51</v>
      </c>
      <c r="L116" s="304"/>
      <c r="M116" s="304"/>
      <c r="N116" s="304"/>
      <c r="O116" s="304"/>
      <c r="P116" s="304"/>
      <c r="Q116" s="304"/>
      <c r="R116" s="414"/>
      <c r="S116" s="456" t="str">
        <f t="shared" si="2"/>
        <v>PVD_Met</v>
      </c>
      <c r="T116" s="417">
        <f t="shared" si="3"/>
        <v>1</v>
      </c>
      <c r="U116" s="124">
        <f t="shared" si="4"/>
        <v>1</v>
      </c>
      <c r="V116" s="131">
        <f t="shared" si="5"/>
        <v>2</v>
      </c>
      <c r="W116" s="291">
        <v>2</v>
      </c>
      <c r="X116" s="304"/>
      <c r="Y116" s="304"/>
      <c r="Z116" s="304"/>
      <c r="AA116" s="420"/>
    </row>
    <row r="117" spans="9:27" ht="12.75">
      <c r="I117" s="458" t="str">
        <f t="shared" si="1"/>
        <v>PVD_Met(C) </v>
      </c>
      <c r="J117" s="156">
        <v>0.51</v>
      </c>
      <c r="K117" s="286">
        <v>0.51</v>
      </c>
      <c r="L117" s="304"/>
      <c r="M117" s="304"/>
      <c r="N117" s="304"/>
      <c r="O117" s="304"/>
      <c r="P117" s="304"/>
      <c r="Q117" s="304"/>
      <c r="R117" s="414"/>
      <c r="S117" s="456" t="str">
        <f t="shared" si="2"/>
        <v>PVD_Met(C) </v>
      </c>
      <c r="T117" s="417">
        <f t="shared" si="3"/>
        <v>3</v>
      </c>
      <c r="U117" s="124">
        <f t="shared" si="4"/>
        <v>5</v>
      </c>
      <c r="V117" s="131">
        <f t="shared" si="5"/>
        <v>7</v>
      </c>
      <c r="W117" s="291">
        <v>9</v>
      </c>
      <c r="X117" s="304"/>
      <c r="Y117" s="304"/>
      <c r="Z117" s="304"/>
      <c r="AA117" s="420"/>
    </row>
    <row r="118" spans="9:27" ht="12.75">
      <c r="I118" s="458" t="str">
        <f t="shared" si="1"/>
        <v>RTP_OxAn(C) </v>
      </c>
      <c r="J118" s="156">
        <v>0.57</v>
      </c>
      <c r="K118" s="286">
        <v>0.57</v>
      </c>
      <c r="L118" s="304"/>
      <c r="M118" s="304"/>
      <c r="N118" s="304"/>
      <c r="O118" s="304"/>
      <c r="P118" s="304"/>
      <c r="Q118" s="304"/>
      <c r="R118" s="414"/>
      <c r="S118" s="456" t="str">
        <f t="shared" si="2"/>
        <v>RTP_OxAn(C) </v>
      </c>
      <c r="T118" s="417">
        <f t="shared" si="3"/>
        <v>1</v>
      </c>
      <c r="U118" s="124">
        <f t="shared" si="4"/>
        <v>2</v>
      </c>
      <c r="V118" s="131">
        <f t="shared" si="5"/>
        <v>3</v>
      </c>
      <c r="W118" s="291">
        <v>3</v>
      </c>
      <c r="X118" s="304"/>
      <c r="Y118" s="304"/>
      <c r="Z118" s="304"/>
      <c r="AA118" s="420"/>
    </row>
    <row r="119" spans="9:27" ht="12.75">
      <c r="I119" s="458" t="str">
        <f t="shared" si="1"/>
        <v>Test</v>
      </c>
      <c r="J119" s="156">
        <v>0.39</v>
      </c>
      <c r="K119" s="286">
        <v>0.39</v>
      </c>
      <c r="L119" s="304"/>
      <c r="M119" s="304"/>
      <c r="N119" s="304"/>
      <c r="O119" s="304"/>
      <c r="P119" s="304"/>
      <c r="Q119" s="304"/>
      <c r="R119" s="414"/>
      <c r="S119" s="456" t="str">
        <f t="shared" si="2"/>
        <v>Test</v>
      </c>
      <c r="T119" s="417">
        <f t="shared" si="3"/>
        <v>6</v>
      </c>
      <c r="U119" s="124">
        <f t="shared" si="4"/>
        <v>11</v>
      </c>
      <c r="V119" s="131">
        <f t="shared" si="5"/>
        <v>17</v>
      </c>
      <c r="W119" s="291">
        <v>22</v>
      </c>
      <c r="X119" s="304"/>
      <c r="Y119" s="304"/>
      <c r="Z119" s="304"/>
      <c r="AA119" s="420"/>
    </row>
    <row r="120" spans="9:27" ht="12.75">
      <c r="I120" s="458" t="str">
        <f t="shared" si="1"/>
        <v>VP_HF_Clean</v>
      </c>
      <c r="J120" s="156">
        <v>0.45</v>
      </c>
      <c r="K120" s="286">
        <v>0.45</v>
      </c>
      <c r="L120" s="304"/>
      <c r="M120" s="304"/>
      <c r="N120" s="304"/>
      <c r="O120" s="304"/>
      <c r="P120" s="304"/>
      <c r="Q120" s="304"/>
      <c r="R120" s="414"/>
      <c r="S120" s="456" t="str">
        <f t="shared" si="2"/>
        <v>VP_HF_Clean</v>
      </c>
      <c r="T120" s="417">
        <f t="shared" si="3"/>
        <v>2</v>
      </c>
      <c r="U120" s="124">
        <f t="shared" si="4"/>
        <v>3</v>
      </c>
      <c r="V120" s="131">
        <f t="shared" si="5"/>
        <v>4</v>
      </c>
      <c r="W120" s="291">
        <v>5</v>
      </c>
      <c r="X120" s="304"/>
      <c r="Y120" s="304"/>
      <c r="Z120" s="304"/>
      <c r="AA120" s="420"/>
    </row>
    <row r="121" spans="9:27" ht="12.75">
      <c r="I121" s="458" t="str">
        <f t="shared" si="1"/>
        <v>Wet_Bench</v>
      </c>
      <c r="J121" s="156">
        <v>0.54</v>
      </c>
      <c r="K121" s="286">
        <v>0.54</v>
      </c>
      <c r="L121" s="304"/>
      <c r="M121" s="304"/>
      <c r="N121" s="304"/>
      <c r="O121" s="304"/>
      <c r="P121" s="304"/>
      <c r="Q121" s="304"/>
      <c r="R121" s="414"/>
      <c r="S121" s="456" t="str">
        <f t="shared" si="2"/>
        <v>Wet_Bench</v>
      </c>
      <c r="T121" s="417">
        <f t="shared" si="3"/>
        <v>3</v>
      </c>
      <c r="U121" s="124">
        <f t="shared" si="4"/>
        <v>6</v>
      </c>
      <c r="V121" s="131">
        <f t="shared" si="5"/>
        <v>9</v>
      </c>
      <c r="W121" s="291">
        <v>11</v>
      </c>
      <c r="X121" s="304"/>
      <c r="Y121" s="304"/>
      <c r="Z121" s="304"/>
      <c r="AA121" s="420"/>
    </row>
    <row r="122" spans="9:27" ht="12.75">
      <c r="I122" s="458" t="str">
        <f t="shared" si="1"/>
        <v>Wet_Bench(I)</v>
      </c>
      <c r="J122" s="156">
        <v>0.54</v>
      </c>
      <c r="K122" s="449">
        <v>0.54</v>
      </c>
      <c r="L122" s="124"/>
      <c r="M122" s="124"/>
      <c r="N122" s="124"/>
      <c r="O122" s="124"/>
      <c r="P122" s="124"/>
      <c r="Q122" s="124"/>
      <c r="R122" s="126"/>
      <c r="S122" s="456" t="str">
        <f t="shared" si="2"/>
        <v>Wet_Bench(I)</v>
      </c>
      <c r="T122" s="450">
        <f t="shared" si="3"/>
        <v>3</v>
      </c>
      <c r="U122" s="124">
        <f>ROUNDUP(W122/2,0)</f>
        <v>5</v>
      </c>
      <c r="V122" s="124">
        <f>ROUNDUP(W122*3/4,0)</f>
        <v>8</v>
      </c>
      <c r="W122" s="451">
        <v>10</v>
      </c>
      <c r="X122" s="124"/>
      <c r="Y122" s="124"/>
      <c r="Z122" s="124"/>
      <c r="AA122" s="452"/>
    </row>
    <row r="123" spans="9:27" ht="12.75">
      <c r="I123" s="458"/>
      <c r="J123" s="453"/>
      <c r="K123" s="286"/>
      <c r="L123" s="304"/>
      <c r="M123" s="304"/>
      <c r="N123" s="304"/>
      <c r="O123" s="304"/>
      <c r="P123" s="304"/>
      <c r="Q123" s="304"/>
      <c r="R123" s="414"/>
      <c r="S123" s="456"/>
      <c r="T123" s="291"/>
      <c r="U123" s="304"/>
      <c r="V123" s="304"/>
      <c r="W123" s="291"/>
      <c r="X123" s="304"/>
      <c r="Y123" s="304"/>
      <c r="Z123" s="304"/>
      <c r="AA123" s="420"/>
    </row>
    <row r="124" spans="9:27" ht="12.75">
      <c r="I124" s="458"/>
      <c r="J124" s="156"/>
      <c r="K124" s="286"/>
      <c r="L124" s="304"/>
      <c r="M124" s="304"/>
      <c r="N124" s="304"/>
      <c r="O124" s="304"/>
      <c r="P124" s="304"/>
      <c r="Q124" s="304"/>
      <c r="R124" s="414"/>
      <c r="S124" s="456"/>
      <c r="T124" s="417"/>
      <c r="U124" s="131"/>
      <c r="V124" s="131"/>
      <c r="W124" s="291"/>
      <c r="X124" s="304"/>
      <c r="Y124" s="304"/>
      <c r="Z124" s="304"/>
      <c r="AA124" s="420"/>
    </row>
    <row r="125" spans="9:27" ht="13.5" thickBot="1">
      <c r="I125" s="459"/>
      <c r="J125" s="161"/>
      <c r="K125" s="300"/>
      <c r="L125" s="305"/>
      <c r="M125" s="305"/>
      <c r="N125" s="305"/>
      <c r="O125" s="305"/>
      <c r="P125" s="305"/>
      <c r="Q125" s="305"/>
      <c r="R125" s="415"/>
      <c r="S125" s="457"/>
      <c r="T125" s="454"/>
      <c r="U125" s="305"/>
      <c r="V125" s="305"/>
      <c r="W125" s="418"/>
      <c r="X125" s="305"/>
      <c r="Y125" s="305"/>
      <c r="Z125" s="305"/>
      <c r="AA125" s="421"/>
    </row>
  </sheetData>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sheetPr codeName="Sheet3"/>
  <dimension ref="A1:CA301"/>
  <sheetViews>
    <sheetView zoomScale="75" zoomScaleNormal="75" workbookViewId="0" topLeftCell="AC1">
      <selection activeCell="AQ48" sqref="AQ48"/>
    </sheetView>
  </sheetViews>
  <sheetFormatPr defaultColWidth="9.140625" defaultRowHeight="12.75"/>
  <cols>
    <col min="1" max="1" width="20.57421875" style="0" bestFit="1" customWidth="1"/>
    <col min="2" max="2" width="14.28125" style="0" customWidth="1"/>
    <col min="3" max="5" width="12.00390625" style="0" bestFit="1" customWidth="1"/>
    <col min="7" max="7" width="19.28125" style="0" customWidth="1"/>
    <col min="9" max="9" width="17.421875" style="0" customWidth="1"/>
    <col min="10" max="10" width="16.28125" style="0" customWidth="1"/>
    <col min="11" max="11" width="15.7109375" style="0" customWidth="1"/>
    <col min="13" max="13" width="14.28125" style="0" customWidth="1"/>
    <col min="14" max="14" width="16.57421875" style="0" customWidth="1"/>
    <col min="15" max="15" width="15.00390625" style="0" customWidth="1"/>
    <col min="16" max="16" width="12.140625" style="0" customWidth="1"/>
    <col min="17" max="17" width="14.00390625" style="0" customWidth="1"/>
    <col min="18" max="18" width="12.00390625" style="0" customWidth="1"/>
    <col min="19" max="19" width="12.00390625" style="0" bestFit="1" customWidth="1"/>
    <col min="23" max="23" width="20.57421875" style="0" customWidth="1"/>
    <col min="24" max="24" width="10.7109375" style="0" customWidth="1"/>
    <col min="27" max="27" width="20.57421875" style="0" customWidth="1"/>
    <col min="28" max="28" width="10.7109375" style="0" customWidth="1"/>
    <col min="30" max="30" width="8.8515625" style="0" customWidth="1"/>
    <col min="35" max="35" width="10.140625" style="0" customWidth="1"/>
    <col min="39" max="40" width="10.28125" style="0" bestFit="1" customWidth="1"/>
    <col min="41" max="41" width="13.28125" style="0" customWidth="1"/>
    <col min="44" max="44" width="20.57421875" style="0" customWidth="1"/>
    <col min="56" max="56" width="18.57421875" style="0" customWidth="1"/>
    <col min="57" max="57" width="15.140625" style="0" customWidth="1"/>
    <col min="58" max="58" width="7.00390625" style="0" customWidth="1"/>
    <col min="59" max="59" width="16.140625" style="0" customWidth="1"/>
    <col min="60" max="60" width="15.421875" style="0" customWidth="1"/>
    <col min="61" max="61" width="15.140625" style="0" bestFit="1" customWidth="1"/>
    <col min="80" max="80" width="13.28125" style="0" customWidth="1"/>
  </cols>
  <sheetData>
    <row r="1" spans="1:79" ht="13.5" thickBot="1">
      <c r="A1" s="259" t="s">
        <v>255</v>
      </c>
      <c r="B1" s="103" t="s">
        <v>320</v>
      </c>
      <c r="C1" s="103" t="s">
        <v>361</v>
      </c>
      <c r="D1" s="103"/>
      <c r="H1" s="263" t="s">
        <v>347</v>
      </c>
      <c r="I1" s="17" t="s">
        <v>105</v>
      </c>
      <c r="J1" s="263" t="s">
        <v>357</v>
      </c>
      <c r="K1" s="17" t="s">
        <v>350</v>
      </c>
      <c r="L1" s="263" t="s">
        <v>562</v>
      </c>
      <c r="M1" s="263" t="s">
        <v>345</v>
      </c>
      <c r="N1" s="18" t="s">
        <v>344</v>
      </c>
      <c r="O1" s="428" t="s">
        <v>560</v>
      </c>
      <c r="P1" s="77" t="s">
        <v>343</v>
      </c>
      <c r="Q1" s="18" t="s">
        <v>340</v>
      </c>
      <c r="R1" s="19" t="s">
        <v>342</v>
      </c>
      <c r="S1" s="17" t="s">
        <v>341</v>
      </c>
      <c r="T1" s="264" t="s">
        <v>427</v>
      </c>
      <c r="U1" s="263" t="s">
        <v>104</v>
      </c>
      <c r="V1" s="263" t="s">
        <v>622</v>
      </c>
      <c r="AA1" s="7"/>
      <c r="AB1" s="7"/>
      <c r="AC1" s="7"/>
      <c r="AD1" s="7"/>
      <c r="AE1" s="7"/>
      <c r="AF1" s="7"/>
      <c r="AG1" s="7"/>
      <c r="AH1" s="7"/>
      <c r="AI1" s="218"/>
      <c r="AJ1" s="7"/>
      <c r="AK1" s="7"/>
      <c r="AL1" s="7"/>
      <c r="AM1" s="7"/>
      <c r="AN1" s="7"/>
      <c r="AO1" s="7"/>
      <c r="AP1" s="7"/>
      <c r="CA1" s="7"/>
    </row>
    <row r="2" spans="1:43" ht="13.5" thickBot="1">
      <c r="A2" s="260" t="s">
        <v>318</v>
      </c>
      <c r="C2" s="103" t="s">
        <v>360</v>
      </c>
      <c r="D2" s="103"/>
      <c r="G2" s="272"/>
      <c r="H2" s="269">
        <v>118</v>
      </c>
      <c r="I2" s="86" t="s">
        <v>43</v>
      </c>
      <c r="J2" s="269" t="str">
        <f>+'Input Data'!I9</f>
        <v>CMP_Ins</v>
      </c>
      <c r="K2" s="86"/>
      <c r="L2" s="269">
        <v>60</v>
      </c>
      <c r="M2" s="460">
        <v>2</v>
      </c>
      <c r="N2" s="262"/>
      <c r="O2" s="269">
        <v>1.98162037</v>
      </c>
      <c r="P2" s="85"/>
      <c r="Q2" s="75">
        <f aca="true" t="shared" si="0" ref="Q2:Q26">+WS*LY^(($H2-1)/$B$24)*P2</f>
        <v>0</v>
      </c>
      <c r="R2" s="22">
        <f aca="true" t="shared" si="1" ref="R2:R65">+WS*LY^(($H2-1)/$B$24)*M2</f>
        <v>49584.12139933116</v>
      </c>
      <c r="S2" s="22">
        <f aca="true" t="shared" si="2" ref="S2:S65">+WS*LY^(($H2-1)/$B$24)*N2</f>
        <v>0</v>
      </c>
      <c r="T2" s="71">
        <f>+'Input Data'!$J$9</f>
        <v>0.77</v>
      </c>
      <c r="U2" s="75">
        <f aca="true" t="shared" si="3" ref="U2:U65">+WS*(LY^((+H2-1)/$B$24))*(1/L2)/(1-T2)/720</f>
        <v>2.4951751911901754</v>
      </c>
      <c r="V2" s="75">
        <f>1/L2</f>
        <v>0.016666666666666666</v>
      </c>
      <c r="AA2" s="98" t="s">
        <v>357</v>
      </c>
      <c r="AB2" s="462" t="s">
        <v>563</v>
      </c>
      <c r="AC2" s="462" t="s">
        <v>561</v>
      </c>
      <c r="AD2" s="96" t="s">
        <v>621</v>
      </c>
      <c r="AE2" s="96" t="s">
        <v>619</v>
      </c>
      <c r="AF2" s="149" t="s">
        <v>250</v>
      </c>
      <c r="AG2" s="96" t="s">
        <v>618</v>
      </c>
      <c r="AH2" s="96" t="s">
        <v>612</v>
      </c>
      <c r="AI2" s="96" t="s">
        <v>613</v>
      </c>
      <c r="AJ2" s="96" t="s">
        <v>611</v>
      </c>
      <c r="AK2" s="96" t="s">
        <v>610</v>
      </c>
      <c r="AL2" s="96" t="s">
        <v>620</v>
      </c>
      <c r="AM2" s="96" t="s">
        <v>614</v>
      </c>
      <c r="AN2" s="96" t="s">
        <v>623</v>
      </c>
      <c r="AO2" s="96" t="s">
        <v>615</v>
      </c>
      <c r="AP2" s="96" t="s">
        <v>616</v>
      </c>
      <c r="AQ2" s="233" t="s">
        <v>617</v>
      </c>
    </row>
    <row r="3" spans="1:43" ht="12.75">
      <c r="A3" s="103"/>
      <c r="C3" s="273"/>
      <c r="D3" s="103"/>
      <c r="G3" s="272"/>
      <c r="H3" s="269">
        <v>151</v>
      </c>
      <c r="I3" s="86" t="s">
        <v>44</v>
      </c>
      <c r="J3" s="269" t="str">
        <f>+'Input Data'!I10</f>
        <v>CMP_Ins(C) </v>
      </c>
      <c r="K3" s="86"/>
      <c r="L3" s="269">
        <v>30</v>
      </c>
      <c r="M3" s="460">
        <v>2</v>
      </c>
      <c r="N3" s="262"/>
      <c r="O3" s="269">
        <v>1.98162037</v>
      </c>
      <c r="P3" s="85"/>
      <c r="Q3" s="75">
        <f t="shared" si="0"/>
        <v>0</v>
      </c>
      <c r="R3" s="22">
        <f t="shared" si="1"/>
        <v>49467.44896880023</v>
      </c>
      <c r="S3" s="22">
        <f t="shared" si="2"/>
        <v>0</v>
      </c>
      <c r="T3" s="71">
        <f>+'Input Data'!$J$10</f>
        <v>0.77</v>
      </c>
      <c r="U3" s="75">
        <f t="shared" si="3"/>
        <v>4.978607988003244</v>
      </c>
      <c r="V3" s="75">
        <f>1/L3</f>
        <v>0.03333333333333333</v>
      </c>
      <c r="AA3" s="463" t="s">
        <v>364</v>
      </c>
      <c r="AB3" s="464">
        <v>25</v>
      </c>
      <c r="AC3" s="464">
        <v>5</v>
      </c>
      <c r="AD3" s="464">
        <v>0</v>
      </c>
      <c r="AE3" s="464">
        <v>0.742</v>
      </c>
      <c r="AF3" s="156">
        <v>0.19129676465791345</v>
      </c>
      <c r="AG3" s="52">
        <v>1</v>
      </c>
      <c r="AH3" s="52">
        <v>2.4951751911901754</v>
      </c>
      <c r="AI3" s="52">
        <f aca="true" t="shared" si="4" ref="AI3:AI45">+ROUNDUP(AH3,0)</f>
        <v>3</v>
      </c>
      <c r="AJ3" s="52">
        <v>0.016666666666666666</v>
      </c>
      <c r="AK3" s="52" t="e">
        <v>#DIV/0!</v>
      </c>
      <c r="AL3" s="52">
        <f>AJ3*AB3/AE3</f>
        <v>0.5615453728661276</v>
      </c>
      <c r="AM3" s="52">
        <f>0.1+IF((AG3&gt;1),AK3,0)/(AJ3*AJ3)+2*(1-AE3)*0.1/AL3</f>
        <v>0.19188928</v>
      </c>
      <c r="AN3" s="53">
        <f>IF((1.1*AF3&gt;(AE3+AF3)/2),(AE3+AF3)/2,1.1*AF3)</f>
        <v>0.21042644112370482</v>
      </c>
      <c r="AO3" s="52">
        <f>(1+AM3)/2*(POWER((AN3/AE3),(SQRT(2*(IF((AD3&gt;0),AD3,AI3)+1))-1))/IF((AD3&gt;0),AD3,AI3)/(1-AN3/AE3))*AL3+AJ3*AB3</f>
        <v>0.432212188761065</v>
      </c>
      <c r="AP3" s="52">
        <v>1.98162037</v>
      </c>
      <c r="AQ3" s="55">
        <f>CT_FACTOR*AO3</f>
        <v>1.193048604381644</v>
      </c>
    </row>
    <row r="4" spans="1:43" ht="12.75">
      <c r="A4" s="387" t="s">
        <v>445</v>
      </c>
      <c r="B4" s="387"/>
      <c r="C4" s="387"/>
      <c r="D4" s="387"/>
      <c r="G4" s="272"/>
      <c r="H4" s="269">
        <v>184</v>
      </c>
      <c r="I4" s="86" t="s">
        <v>44</v>
      </c>
      <c r="J4" s="269" t="str">
        <f>+'Input Data'!I10</f>
        <v>CMP_Ins(C) </v>
      </c>
      <c r="K4" s="86"/>
      <c r="L4" s="269">
        <v>30</v>
      </c>
      <c r="M4" s="460">
        <v>2</v>
      </c>
      <c r="N4" s="262"/>
      <c r="O4" s="269">
        <v>1.98162037</v>
      </c>
      <c r="P4" s="85"/>
      <c r="Q4" s="75">
        <f t="shared" si="0"/>
        <v>0</v>
      </c>
      <c r="R4" s="22">
        <f t="shared" si="1"/>
        <v>49351.0510708346</v>
      </c>
      <c r="S4" s="22">
        <f t="shared" si="2"/>
        <v>0</v>
      </c>
      <c r="T4" s="71">
        <f>+'Input Data'!$J$10</f>
        <v>0.77</v>
      </c>
      <c r="U4" s="75">
        <f t="shared" si="3"/>
        <v>4.966893223715237</v>
      </c>
      <c r="V4" s="75">
        <f aca="true" t="shared" si="5" ref="V4:V67">1/L4</f>
        <v>0.03333333333333333</v>
      </c>
      <c r="AA4" s="99" t="s">
        <v>362</v>
      </c>
      <c r="AB4" s="399">
        <v>25</v>
      </c>
      <c r="AC4" s="399">
        <v>5</v>
      </c>
      <c r="AD4" s="399">
        <f>AD3</f>
        <v>0</v>
      </c>
      <c r="AE4" s="399">
        <f>AE3</f>
        <v>0.742</v>
      </c>
      <c r="AF4" s="156">
        <v>0.22821703342780678</v>
      </c>
      <c r="AG4" s="53">
        <v>4</v>
      </c>
      <c r="AH4" s="53">
        <v>19.844959428504936</v>
      </c>
      <c r="AI4" s="53">
        <f t="shared" si="4"/>
        <v>20</v>
      </c>
      <c r="AJ4" s="53">
        <v>0.03333333333333333</v>
      </c>
      <c r="AK4" s="53">
        <v>0</v>
      </c>
      <c r="AL4" s="53">
        <f>AJ4*AB4/AE4</f>
        <v>1.1230907457322552</v>
      </c>
      <c r="AM4" s="53">
        <f aca="true" t="shared" si="6" ref="AM4:AM45">0.1+IF((AG4&gt;1),AK4,0)/(AJ4*AJ4)+2*(1-AE4)*0.1/AL4</f>
        <v>0.14594464000000001</v>
      </c>
      <c r="AN4" s="53">
        <f>IF((1.1*AF4&gt;(AE4+AF4)/2),(AE4+AF4)/2,1.1*AF4)</f>
        <v>0.25103873677058747</v>
      </c>
      <c r="AO4" s="53">
        <f aca="true" t="shared" si="7" ref="AO4:AO45">(1+AM4)/2*(POWER((AN4/AE4),(SQRT(2*(IF((AD4&gt;0),AD4,AI4)+1))-1))/IF((AD4&gt;0),AD4,AI4)/(1-AN4/AE4))*AL4+AJ4*AB4</f>
        <v>0.8334613576339827</v>
      </c>
      <c r="AP4" s="53">
        <v>1.98162037</v>
      </c>
      <c r="AQ4" s="314">
        <f aca="true" t="shared" si="8" ref="AQ4:AQ44">CT_FACTOR*AO4</f>
        <v>2.30062903219269</v>
      </c>
    </row>
    <row r="5" spans="8:43" ht="12.75">
      <c r="H5" s="269">
        <v>217</v>
      </c>
      <c r="I5" s="86" t="s">
        <v>44</v>
      </c>
      <c r="J5" s="269" t="str">
        <f>+'Input Data'!I10</f>
        <v>CMP_Ins(C) </v>
      </c>
      <c r="K5" s="86"/>
      <c r="L5" s="269">
        <v>30</v>
      </c>
      <c r="M5" s="460">
        <v>2</v>
      </c>
      <c r="N5" s="262"/>
      <c r="O5" s="269">
        <v>1.98162037</v>
      </c>
      <c r="P5" s="85"/>
      <c r="Q5" s="75">
        <f t="shared" si="0"/>
        <v>0</v>
      </c>
      <c r="R5" s="22">
        <f t="shared" si="1"/>
        <v>49234.92705945365</v>
      </c>
      <c r="S5" s="22">
        <f t="shared" si="2"/>
        <v>0</v>
      </c>
      <c r="T5" s="71">
        <f>+'Input Data'!$J$10</f>
        <v>0.77</v>
      </c>
      <c r="U5" s="75">
        <f t="shared" si="3"/>
        <v>4.955206024502179</v>
      </c>
      <c r="V5" s="75">
        <f t="shared" si="5"/>
        <v>0.03333333333333333</v>
      </c>
      <c r="AA5" s="99" t="s">
        <v>363</v>
      </c>
      <c r="AB5" s="399">
        <v>25</v>
      </c>
      <c r="AC5" s="399">
        <v>5</v>
      </c>
      <c r="AD5" s="399">
        <f aca="true" t="shared" si="9" ref="AD5:AD44">AD4</f>
        <v>0</v>
      </c>
      <c r="AE5" s="399">
        <f>AE4</f>
        <v>0.742</v>
      </c>
      <c r="AF5" s="156">
        <v>0.19262601573829796</v>
      </c>
      <c r="AG5" s="53">
        <v>1</v>
      </c>
      <c r="AH5" s="53">
        <v>2.512513248760408</v>
      </c>
      <c r="AI5" s="53">
        <f t="shared" si="4"/>
        <v>3</v>
      </c>
      <c r="AJ5" s="53">
        <v>0.016666666666666666</v>
      </c>
      <c r="AK5" s="53" t="e">
        <v>#DIV/0!</v>
      </c>
      <c r="AL5" s="53">
        <f aca="true" t="shared" si="10" ref="AL5:AL45">AJ5*AB5/AE5</f>
        <v>0.5615453728661276</v>
      </c>
      <c r="AM5" s="53">
        <f t="shared" si="6"/>
        <v>0.19188928</v>
      </c>
      <c r="AN5" s="53">
        <f aca="true" t="shared" si="11" ref="AN5:AN45">IF((1.1*AF5&gt;(AE5+AF5)/2),(AE5+AF5)/2,1.1*AF5)</f>
        <v>0.21188861731212777</v>
      </c>
      <c r="AO5" s="53">
        <f t="shared" si="7"/>
        <v>0.4324536886179025</v>
      </c>
      <c r="AP5" s="53">
        <v>1.98162037</v>
      </c>
      <c r="AQ5" s="314">
        <f t="shared" si="8"/>
        <v>1.1937152238677446</v>
      </c>
    </row>
    <row r="6" spans="1:43" ht="12.75">
      <c r="A6" s="386" t="s">
        <v>11</v>
      </c>
      <c r="B6" s="103"/>
      <c r="C6" s="103"/>
      <c r="D6" s="103"/>
      <c r="G6" s="272"/>
      <c r="H6" s="269">
        <v>248</v>
      </c>
      <c r="I6" s="86" t="s">
        <v>44</v>
      </c>
      <c r="J6" s="269" t="str">
        <f>+'Input Data'!I10</f>
        <v>CMP_Ins(C) </v>
      </c>
      <c r="K6" s="86"/>
      <c r="L6" s="269">
        <v>30</v>
      </c>
      <c r="M6" s="460">
        <v>2</v>
      </c>
      <c r="N6" s="262"/>
      <c r="O6" s="269">
        <v>1.98162037</v>
      </c>
      <c r="P6" s="85"/>
      <c r="Q6" s="75">
        <f t="shared" si="0"/>
        <v>0</v>
      </c>
      <c r="R6" s="22">
        <f t="shared" si="1"/>
        <v>49126.08978253654</v>
      </c>
      <c r="S6" s="22">
        <f t="shared" si="2"/>
        <v>0</v>
      </c>
      <c r="T6" s="71">
        <f>+'Input Data'!$J$10</f>
        <v>0.77</v>
      </c>
      <c r="U6" s="75">
        <f t="shared" si="3"/>
        <v>4.9442521922842735</v>
      </c>
      <c r="V6" s="75">
        <f t="shared" si="5"/>
        <v>0.03333333333333333</v>
      </c>
      <c r="AA6" s="99" t="s">
        <v>365</v>
      </c>
      <c r="AB6" s="399">
        <v>25</v>
      </c>
      <c r="AC6" s="399">
        <v>5</v>
      </c>
      <c r="AD6" s="399">
        <f t="shared" si="9"/>
        <v>0</v>
      </c>
      <c r="AE6" s="399">
        <f>AE5</f>
        <v>0.742</v>
      </c>
      <c r="AF6" s="156">
        <v>0.2194775099573839</v>
      </c>
      <c r="AG6" s="53">
        <v>5</v>
      </c>
      <c r="AH6" s="53">
        <v>12.405250562808655</v>
      </c>
      <c r="AI6" s="53">
        <f t="shared" si="4"/>
        <v>13</v>
      </c>
      <c r="AJ6" s="53">
        <v>0.016666666666666666</v>
      </c>
      <c r="AK6" s="53">
        <v>5.421010862427522E-20</v>
      </c>
      <c r="AL6" s="53">
        <f t="shared" si="10"/>
        <v>0.5615453728661276</v>
      </c>
      <c r="AM6" s="53">
        <f t="shared" si="6"/>
        <v>0.19188928000000022</v>
      </c>
      <c r="AN6" s="53">
        <f t="shared" si="11"/>
        <v>0.24142526095312233</v>
      </c>
      <c r="AO6" s="53">
        <f t="shared" si="7"/>
        <v>0.4169749533419235</v>
      </c>
      <c r="AP6" s="53">
        <v>1.98162037</v>
      </c>
      <c r="AQ6" s="314">
        <f t="shared" si="8"/>
        <v>1.1509887945841677</v>
      </c>
    </row>
    <row r="7" spans="1:43" ht="12.75">
      <c r="A7" s="103" t="s">
        <v>10</v>
      </c>
      <c r="B7" s="103"/>
      <c r="C7" s="103"/>
      <c r="D7" s="103"/>
      <c r="G7" s="272"/>
      <c r="H7" s="269">
        <v>21</v>
      </c>
      <c r="I7" s="86" t="s">
        <v>45</v>
      </c>
      <c r="J7" s="269" t="str">
        <f>+'Input Data'!I11</f>
        <v>CMP_Ins(I)</v>
      </c>
      <c r="K7" s="86"/>
      <c r="L7" s="269">
        <v>60</v>
      </c>
      <c r="M7" s="460">
        <v>2</v>
      </c>
      <c r="N7" s="262"/>
      <c r="O7" s="269">
        <v>1.98162037</v>
      </c>
      <c r="P7" s="85"/>
      <c r="Q7" s="75">
        <f t="shared" si="0"/>
        <v>0</v>
      </c>
      <c r="R7" s="22">
        <f t="shared" si="1"/>
        <v>49928.663279366825</v>
      </c>
      <c r="S7" s="22">
        <f t="shared" si="2"/>
        <v>0</v>
      </c>
      <c r="T7" s="71">
        <f>+'Input Data'!$J$11</f>
        <v>0.77</v>
      </c>
      <c r="U7" s="75">
        <f t="shared" si="3"/>
        <v>2.512513248760408</v>
      </c>
      <c r="V7" s="75">
        <f t="shared" si="5"/>
        <v>0.016666666666666666</v>
      </c>
      <c r="AA7" s="99" t="s">
        <v>368</v>
      </c>
      <c r="AB7" s="399">
        <v>25</v>
      </c>
      <c r="AC7" s="399">
        <v>5</v>
      </c>
      <c r="AD7" s="399">
        <v>0</v>
      </c>
      <c r="AE7" s="399">
        <v>0.875</v>
      </c>
      <c r="AF7" s="156">
        <v>0.5596137274572152</v>
      </c>
      <c r="AG7" s="53">
        <v>3</v>
      </c>
      <c r="AH7" s="53">
        <v>3.4975857966075945</v>
      </c>
      <c r="AI7" s="53">
        <f t="shared" si="4"/>
        <v>4</v>
      </c>
      <c r="AJ7" s="53">
        <v>0.021666666666666667</v>
      </c>
      <c r="AK7" s="53">
        <v>8.333333333333283E-06</v>
      </c>
      <c r="AL7" s="53">
        <f t="shared" si="10"/>
        <v>0.6190476190476192</v>
      </c>
      <c r="AM7" s="53">
        <f t="shared" si="6"/>
        <v>0.1581360946745561</v>
      </c>
      <c r="AN7" s="53">
        <f t="shared" si="11"/>
        <v>0.6155751002029367</v>
      </c>
      <c r="AO7" s="53">
        <f t="shared" si="7"/>
        <v>0.6829698234578666</v>
      </c>
      <c r="AP7" s="53">
        <v>3.204055556</v>
      </c>
      <c r="AQ7" s="314">
        <f t="shared" si="8"/>
        <v>1.8852226195814925</v>
      </c>
    </row>
    <row r="8" spans="1:43" ht="12.75">
      <c r="A8" s="103" t="s">
        <v>12</v>
      </c>
      <c r="B8" s="103"/>
      <c r="C8" s="103"/>
      <c r="D8" s="103"/>
      <c r="G8" s="272"/>
      <c r="H8" s="269">
        <v>132</v>
      </c>
      <c r="I8" s="86" t="s">
        <v>46</v>
      </c>
      <c r="J8" s="269" t="str">
        <f>+'Input Data'!I12</f>
        <v>CMP_Met</v>
      </c>
      <c r="K8" s="86"/>
      <c r="L8" s="269">
        <v>60</v>
      </c>
      <c r="M8" s="460">
        <v>2</v>
      </c>
      <c r="N8" s="262"/>
      <c r="O8" s="269">
        <v>1.98162037</v>
      </c>
      <c r="P8" s="85"/>
      <c r="Q8" s="75">
        <f t="shared" si="0"/>
        <v>0</v>
      </c>
      <c r="R8" s="22">
        <f t="shared" si="1"/>
        <v>49534.59043428776</v>
      </c>
      <c r="S8" s="22">
        <f t="shared" si="2"/>
        <v>0</v>
      </c>
      <c r="T8" s="71">
        <f>+'Input Data'!$J$12</f>
        <v>0.77</v>
      </c>
      <c r="U8" s="75">
        <f t="shared" si="3"/>
        <v>2.492682690936381</v>
      </c>
      <c r="V8" s="75">
        <f t="shared" si="5"/>
        <v>0.016666666666666666</v>
      </c>
      <c r="AA8" s="99" t="s">
        <v>366</v>
      </c>
      <c r="AB8" s="399">
        <v>25</v>
      </c>
      <c r="AC8" s="399">
        <v>5</v>
      </c>
      <c r="AD8" s="399">
        <f t="shared" si="9"/>
        <v>0</v>
      </c>
      <c r="AE8" s="399">
        <f aca="true" t="shared" si="12" ref="AE8:AE14">AE7</f>
        <v>0.875</v>
      </c>
      <c r="AF8" s="156">
        <v>0.5927206951415147</v>
      </c>
      <c r="AG8" s="53">
        <v>5</v>
      </c>
      <c r="AH8" s="53">
        <v>9.261260861586166</v>
      </c>
      <c r="AI8" s="53">
        <f t="shared" si="4"/>
        <v>10</v>
      </c>
      <c r="AJ8" s="53">
        <v>0.034666666666666665</v>
      </c>
      <c r="AK8" s="53">
        <v>8.888888888888792E-06</v>
      </c>
      <c r="AL8" s="53">
        <f t="shared" si="10"/>
        <v>0.9904761904761904</v>
      </c>
      <c r="AM8" s="53">
        <f t="shared" si="6"/>
        <v>0.13263683431952655</v>
      </c>
      <c r="AN8" s="53">
        <f t="shared" si="11"/>
        <v>0.6519927646556662</v>
      </c>
      <c r="AO8" s="53">
        <f t="shared" si="7"/>
        <v>0.9409834380894091</v>
      </c>
      <c r="AP8" s="53">
        <v>3.204055556</v>
      </c>
      <c r="AQ8" s="314">
        <f t="shared" si="8"/>
        <v>2.5974255394713692</v>
      </c>
    </row>
    <row r="9" spans="8:43" ht="12.75">
      <c r="H9" s="269">
        <v>165</v>
      </c>
      <c r="I9" s="86" t="s">
        <v>46</v>
      </c>
      <c r="J9" s="269" t="str">
        <f>+'Input Data'!I12</f>
        <v>CMP_Met</v>
      </c>
      <c r="K9" s="86"/>
      <c r="L9" s="269">
        <v>60</v>
      </c>
      <c r="M9" s="460">
        <v>2</v>
      </c>
      <c r="N9" s="262"/>
      <c r="O9" s="269">
        <v>1.98162037</v>
      </c>
      <c r="P9" s="85"/>
      <c r="Q9" s="75">
        <f t="shared" si="0"/>
        <v>0</v>
      </c>
      <c r="R9" s="22">
        <f t="shared" si="1"/>
        <v>49418.03455110939</v>
      </c>
      <c r="S9" s="22">
        <f t="shared" si="2"/>
        <v>0</v>
      </c>
      <c r="T9" s="71">
        <f>+'Input Data'!$J$12</f>
        <v>0.77</v>
      </c>
      <c r="U9" s="75">
        <f t="shared" si="3"/>
        <v>2.486817358650835</v>
      </c>
      <c r="V9" s="75">
        <f t="shared" si="5"/>
        <v>0.016666666666666666</v>
      </c>
      <c r="AA9" s="99" t="s">
        <v>367</v>
      </c>
      <c r="AB9" s="399">
        <v>25</v>
      </c>
      <c r="AC9" s="399">
        <v>5</v>
      </c>
      <c r="AD9" s="399">
        <f t="shared" si="9"/>
        <v>0</v>
      </c>
      <c r="AE9" s="399">
        <f t="shared" si="12"/>
        <v>0.875</v>
      </c>
      <c r="AF9" s="156">
        <v>0.3468010923300532</v>
      </c>
      <c r="AG9" s="53">
        <v>1</v>
      </c>
      <c r="AH9" s="53">
        <v>1.0837534135314162</v>
      </c>
      <c r="AI9" s="53">
        <f t="shared" si="4"/>
        <v>2</v>
      </c>
      <c r="AJ9" s="53">
        <v>0.02</v>
      </c>
      <c r="AK9" s="53" t="e">
        <v>#DIV/0!</v>
      </c>
      <c r="AL9" s="53">
        <f t="shared" si="10"/>
        <v>0.5714285714285714</v>
      </c>
      <c r="AM9" s="53">
        <f t="shared" si="6"/>
        <v>0.14375000000000002</v>
      </c>
      <c r="AN9" s="53">
        <f t="shared" si="11"/>
        <v>0.38148120156305854</v>
      </c>
      <c r="AO9" s="53">
        <f t="shared" si="7"/>
        <v>0.5869652529687317</v>
      </c>
      <c r="AP9" s="53">
        <v>3.204055556</v>
      </c>
      <c r="AQ9" s="314">
        <f t="shared" si="8"/>
        <v>1.6202182494718833</v>
      </c>
    </row>
    <row r="10" spans="1:43" ht="12.75">
      <c r="A10" s="103" t="s">
        <v>565</v>
      </c>
      <c r="G10" s="272"/>
      <c r="H10" s="269">
        <v>198</v>
      </c>
      <c r="I10" s="86" t="s">
        <v>46</v>
      </c>
      <c r="J10" s="269" t="str">
        <f>+'Input Data'!I12</f>
        <v>CMP_Met</v>
      </c>
      <c r="K10" s="86"/>
      <c r="L10" s="269">
        <v>60</v>
      </c>
      <c r="M10" s="460">
        <v>2</v>
      </c>
      <c r="N10" s="262"/>
      <c r="O10" s="269">
        <v>1.98162037</v>
      </c>
      <c r="P10" s="85"/>
      <c r="Q10" s="75">
        <f t="shared" si="0"/>
        <v>0</v>
      </c>
      <c r="R10" s="22">
        <f t="shared" si="1"/>
        <v>49301.75292625807</v>
      </c>
      <c r="S10" s="22">
        <f t="shared" si="2"/>
        <v>0</v>
      </c>
      <c r="T10" s="71">
        <f>+'Input Data'!$J$12</f>
        <v>0.77</v>
      </c>
      <c r="U10" s="75">
        <f t="shared" si="3"/>
        <v>2.480965827609605</v>
      </c>
      <c r="V10" s="75">
        <f t="shared" si="5"/>
        <v>0.016666666666666666</v>
      </c>
      <c r="AA10" s="99" t="s">
        <v>369</v>
      </c>
      <c r="AB10" s="399">
        <v>25</v>
      </c>
      <c r="AC10" s="399">
        <v>5</v>
      </c>
      <c r="AD10" s="399">
        <f t="shared" si="9"/>
        <v>0</v>
      </c>
      <c r="AE10" s="399">
        <f t="shared" si="12"/>
        <v>0.875</v>
      </c>
      <c r="AF10" s="156">
        <v>0.5146619121967677</v>
      </c>
      <c r="AG10" s="53">
        <v>3</v>
      </c>
      <c r="AH10" s="53">
        <v>1.6083184756148992</v>
      </c>
      <c r="AI10" s="53">
        <f t="shared" si="4"/>
        <v>2</v>
      </c>
      <c r="AJ10" s="53">
        <v>0.01</v>
      </c>
      <c r="AK10" s="53">
        <v>2.710505431213761E-20</v>
      </c>
      <c r="AL10" s="53">
        <f t="shared" si="10"/>
        <v>0.2857142857142857</v>
      </c>
      <c r="AM10" s="53">
        <f t="shared" si="6"/>
        <v>0.18750000000000028</v>
      </c>
      <c r="AN10" s="53">
        <f t="shared" si="11"/>
        <v>0.5661281034164445</v>
      </c>
      <c r="AO10" s="53">
        <f t="shared" si="7"/>
        <v>0.37783400224728714</v>
      </c>
      <c r="AP10" s="53">
        <v>3.204055556</v>
      </c>
      <c r="AQ10" s="314">
        <f t="shared" si="8"/>
        <v>1.042946822858467</v>
      </c>
    </row>
    <row r="11" spans="1:43" ht="12.75">
      <c r="A11" t="s">
        <v>566</v>
      </c>
      <c r="H11" s="269">
        <v>231</v>
      </c>
      <c r="I11" s="86" t="s">
        <v>46</v>
      </c>
      <c r="J11" s="269" t="str">
        <f>+'Input Data'!I12</f>
        <v>CMP_Met</v>
      </c>
      <c r="K11" s="86"/>
      <c r="L11" s="269">
        <v>60</v>
      </c>
      <c r="M11" s="460">
        <v>2</v>
      </c>
      <c r="N11" s="262"/>
      <c r="O11" s="269">
        <v>1.98162037</v>
      </c>
      <c r="P11" s="85"/>
      <c r="Q11" s="75">
        <f t="shared" si="0"/>
        <v>0</v>
      </c>
      <c r="R11" s="22">
        <f t="shared" si="1"/>
        <v>49185.74491439846</v>
      </c>
      <c r="S11" s="22">
        <f t="shared" si="2"/>
        <v>0</v>
      </c>
      <c r="T11" s="71">
        <f>+'Input Data'!$J$12</f>
        <v>0.77</v>
      </c>
      <c r="U11" s="75">
        <f t="shared" si="3"/>
        <v>2.475128065338087</v>
      </c>
      <c r="V11" s="75">
        <f t="shared" si="5"/>
        <v>0.016666666666666666</v>
      </c>
      <c r="AA11" s="99" t="s">
        <v>371</v>
      </c>
      <c r="AB11" s="399">
        <v>25</v>
      </c>
      <c r="AC11" s="399">
        <v>5</v>
      </c>
      <c r="AD11" s="399">
        <f t="shared" si="9"/>
        <v>0</v>
      </c>
      <c r="AE11" s="399">
        <f t="shared" si="12"/>
        <v>0.875</v>
      </c>
      <c r="AF11" s="156">
        <v>0.28669944013904136</v>
      </c>
      <c r="AG11" s="53">
        <v>1</v>
      </c>
      <c r="AH11" s="53">
        <v>1.1945810005793391</v>
      </c>
      <c r="AI11" s="53">
        <f t="shared" si="4"/>
        <v>2</v>
      </c>
      <c r="AJ11" s="53">
        <v>0.016666666666666666</v>
      </c>
      <c r="AK11" s="53" t="e">
        <v>#DIV/0!</v>
      </c>
      <c r="AL11" s="53">
        <f t="shared" si="10"/>
        <v>0.4761904761904762</v>
      </c>
      <c r="AM11" s="53">
        <f t="shared" si="6"/>
        <v>0.1525</v>
      </c>
      <c r="AN11" s="53">
        <f t="shared" si="11"/>
        <v>0.3153693841529455</v>
      </c>
      <c r="AO11" s="53">
        <f t="shared" si="7"/>
        <v>0.46553989386200767</v>
      </c>
      <c r="AP11" s="53">
        <v>3.204055556</v>
      </c>
      <c r="AQ11" s="314">
        <f t="shared" si="8"/>
        <v>1.285044094309633</v>
      </c>
    </row>
    <row r="12" spans="1:43" ht="12.75">
      <c r="A12" t="s">
        <v>567</v>
      </c>
      <c r="H12" s="269">
        <v>262</v>
      </c>
      <c r="I12" s="86" t="s">
        <v>46</v>
      </c>
      <c r="J12" s="269" t="str">
        <f>+'Input Data'!I12</f>
        <v>CMP_Met</v>
      </c>
      <c r="K12" s="86"/>
      <c r="L12" s="269">
        <v>60</v>
      </c>
      <c r="M12" s="460">
        <v>2</v>
      </c>
      <c r="N12" s="262"/>
      <c r="O12" s="269">
        <v>1.98162037</v>
      </c>
      <c r="P12" s="85"/>
      <c r="Q12" s="75">
        <f t="shared" si="0"/>
        <v>0</v>
      </c>
      <c r="R12" s="22">
        <f t="shared" si="1"/>
        <v>49077.01635807992</v>
      </c>
      <c r="S12" s="22">
        <f t="shared" si="2"/>
        <v>0</v>
      </c>
      <c r="T12" s="71">
        <f>+'Input Data'!$J$12</f>
        <v>0.77</v>
      </c>
      <c r="U12" s="75">
        <f t="shared" si="3"/>
        <v>2.469656620273748</v>
      </c>
      <c r="V12" s="75">
        <f t="shared" si="5"/>
        <v>0.016666666666666666</v>
      </c>
      <c r="AA12" s="99" t="s">
        <v>370</v>
      </c>
      <c r="AB12" s="399">
        <v>25</v>
      </c>
      <c r="AC12" s="399">
        <v>5</v>
      </c>
      <c r="AD12" s="399">
        <f t="shared" si="9"/>
        <v>0</v>
      </c>
      <c r="AE12" s="399">
        <f t="shared" si="12"/>
        <v>0.875</v>
      </c>
      <c r="AF12" s="156">
        <v>0.45604322917466156</v>
      </c>
      <c r="AG12" s="53">
        <v>4</v>
      </c>
      <c r="AH12" s="53">
        <v>4.750450303902725</v>
      </c>
      <c r="AI12" s="53">
        <f t="shared" si="4"/>
        <v>5</v>
      </c>
      <c r="AJ12" s="53">
        <v>0.016666666666666666</v>
      </c>
      <c r="AK12" s="53">
        <v>0</v>
      </c>
      <c r="AL12" s="53">
        <f t="shared" si="10"/>
        <v>0.4761904761904762</v>
      </c>
      <c r="AM12" s="53">
        <f t="shared" si="6"/>
        <v>0.1525</v>
      </c>
      <c r="AN12" s="53">
        <f t="shared" si="11"/>
        <v>0.5016475520921277</v>
      </c>
      <c r="AO12" s="53">
        <f t="shared" si="7"/>
        <v>0.4493224935925999</v>
      </c>
      <c r="AP12" s="53">
        <v>3.204055556</v>
      </c>
      <c r="AQ12" s="314">
        <f t="shared" si="8"/>
        <v>1.2402787053149893</v>
      </c>
    </row>
    <row r="13" spans="1:43" ht="12.75">
      <c r="A13" t="s">
        <v>564</v>
      </c>
      <c r="G13" s="272"/>
      <c r="H13" s="269">
        <v>113</v>
      </c>
      <c r="I13" s="86" t="s">
        <v>47</v>
      </c>
      <c r="J13" s="269" t="str">
        <f>+'Input Data'!I13</f>
        <v>CVD_Ins</v>
      </c>
      <c r="K13" s="86"/>
      <c r="L13" s="269">
        <v>50</v>
      </c>
      <c r="M13" s="460">
        <v>1.5</v>
      </c>
      <c r="N13" s="262"/>
      <c r="O13" s="269">
        <v>3.204055556</v>
      </c>
      <c r="P13" s="85"/>
      <c r="Q13" s="75">
        <f t="shared" si="0"/>
        <v>0</v>
      </c>
      <c r="R13" s="22">
        <f t="shared" si="1"/>
        <v>37201.36727244918</v>
      </c>
      <c r="S13" s="22">
        <f t="shared" si="2"/>
        <v>0</v>
      </c>
      <c r="T13" s="71">
        <f>+'Input Data'!$J$13</f>
        <v>0.36</v>
      </c>
      <c r="U13" s="75">
        <f t="shared" si="3"/>
        <v>1.0764284511704043</v>
      </c>
      <c r="V13" s="75">
        <f t="shared" si="5"/>
        <v>0.02</v>
      </c>
      <c r="AA13" s="99" t="s">
        <v>373</v>
      </c>
      <c r="AB13" s="399">
        <v>25</v>
      </c>
      <c r="AC13" s="399">
        <v>5</v>
      </c>
      <c r="AD13" s="399">
        <f t="shared" si="9"/>
        <v>0</v>
      </c>
      <c r="AE13" s="399">
        <f t="shared" si="12"/>
        <v>0.875</v>
      </c>
      <c r="AF13" s="156">
        <v>0.24572483491532252</v>
      </c>
      <c r="AG13" s="53">
        <v>1</v>
      </c>
      <c r="AH13" s="53">
        <v>1.0238534788138438</v>
      </c>
      <c r="AI13" s="53">
        <f t="shared" si="4"/>
        <v>2</v>
      </c>
      <c r="AJ13" s="53">
        <v>0.014285714285714285</v>
      </c>
      <c r="AK13" s="53" t="e">
        <v>#DIV/0!</v>
      </c>
      <c r="AL13" s="53">
        <f t="shared" si="10"/>
        <v>0.40816326530612246</v>
      </c>
      <c r="AM13" s="53">
        <f t="shared" si="6"/>
        <v>0.16125</v>
      </c>
      <c r="AN13" s="53">
        <f t="shared" si="11"/>
        <v>0.2702973184068548</v>
      </c>
      <c r="AO13" s="53">
        <f t="shared" si="7"/>
        <v>0.3883809828188357</v>
      </c>
      <c r="AP13" s="53">
        <v>3.204055556</v>
      </c>
      <c r="AQ13" s="314">
        <f t="shared" si="8"/>
        <v>1.0720599778747466</v>
      </c>
    </row>
    <row r="14" spans="1:43" ht="12.75">
      <c r="A14" t="s">
        <v>568</v>
      </c>
      <c r="G14" s="272"/>
      <c r="H14" s="269">
        <v>115</v>
      </c>
      <c r="I14" s="86" t="s">
        <v>48</v>
      </c>
      <c r="J14" s="269" t="str">
        <f>+'Input Data'!I13</f>
        <v>CVD_Ins</v>
      </c>
      <c r="K14" s="86"/>
      <c r="L14" s="269">
        <v>40</v>
      </c>
      <c r="M14" s="460">
        <v>1.5</v>
      </c>
      <c r="N14" s="262"/>
      <c r="O14" s="269">
        <v>3.204055556</v>
      </c>
      <c r="P14" s="85"/>
      <c r="Q14" s="75">
        <f t="shared" si="0"/>
        <v>0</v>
      </c>
      <c r="R14" s="22">
        <f t="shared" si="1"/>
        <v>37196.05621460701</v>
      </c>
      <c r="S14" s="22">
        <f t="shared" si="2"/>
        <v>0</v>
      </c>
      <c r="T14" s="71">
        <f>+'Input Data'!$J$13</f>
        <v>0.36</v>
      </c>
      <c r="U14" s="75">
        <f t="shared" si="3"/>
        <v>1.345343468410265</v>
      </c>
      <c r="V14" s="75">
        <f t="shared" si="5"/>
        <v>0.025</v>
      </c>
      <c r="AA14" s="99" t="s">
        <v>372</v>
      </c>
      <c r="AB14" s="399">
        <v>25</v>
      </c>
      <c r="AC14" s="399">
        <v>5</v>
      </c>
      <c r="AD14" s="399">
        <f t="shared" si="9"/>
        <v>0</v>
      </c>
      <c r="AE14" s="399">
        <f t="shared" si="12"/>
        <v>0.875</v>
      </c>
      <c r="AF14" s="156">
        <v>0.39086629241008525</v>
      </c>
      <c r="AG14" s="53">
        <v>4</v>
      </c>
      <c r="AH14" s="53">
        <v>4.071523879271721</v>
      </c>
      <c r="AI14" s="53">
        <f t="shared" si="4"/>
        <v>5</v>
      </c>
      <c r="AJ14" s="53">
        <v>0.014285714285714285</v>
      </c>
      <c r="AK14" s="53">
        <v>0</v>
      </c>
      <c r="AL14" s="53">
        <f t="shared" si="10"/>
        <v>0.40816326530612246</v>
      </c>
      <c r="AM14" s="53">
        <f t="shared" si="6"/>
        <v>0.16125</v>
      </c>
      <c r="AN14" s="53">
        <f t="shared" si="11"/>
        <v>0.42995292165109383</v>
      </c>
      <c r="AO14" s="53">
        <f t="shared" si="7"/>
        <v>0.3733226013035848</v>
      </c>
      <c r="AP14" s="53">
        <v>3.204055556</v>
      </c>
      <c r="AQ14" s="314">
        <f t="shared" si="8"/>
        <v>1.0304938640117522</v>
      </c>
    </row>
    <row r="15" spans="1:43" ht="12.75">
      <c r="A15" t="s">
        <v>569</v>
      </c>
      <c r="G15" s="272"/>
      <c r="H15" s="269">
        <v>121</v>
      </c>
      <c r="I15" s="86" t="s">
        <v>49</v>
      </c>
      <c r="J15" s="269" t="str">
        <f>+'Input Data'!I13</f>
        <v>CVD_Ins</v>
      </c>
      <c r="K15" s="86"/>
      <c r="L15" s="269">
        <v>50</v>
      </c>
      <c r="M15" s="460">
        <v>1.5</v>
      </c>
      <c r="N15" s="262"/>
      <c r="O15" s="269">
        <v>3.204055556</v>
      </c>
      <c r="P15" s="85"/>
      <c r="Q15" s="75">
        <f t="shared" si="0"/>
        <v>0</v>
      </c>
      <c r="R15" s="22">
        <f t="shared" si="1"/>
        <v>37180.12759005054</v>
      </c>
      <c r="S15" s="22">
        <f t="shared" si="2"/>
        <v>0</v>
      </c>
      <c r="T15" s="71">
        <f>+'Input Data'!$J$13</f>
        <v>0.36</v>
      </c>
      <c r="U15" s="75">
        <f t="shared" si="3"/>
        <v>1.0758138770269254</v>
      </c>
      <c r="V15" s="75">
        <f t="shared" si="5"/>
        <v>0.02</v>
      </c>
      <c r="AA15" s="99" t="s">
        <v>377</v>
      </c>
      <c r="AB15" s="399">
        <v>25</v>
      </c>
      <c r="AC15" s="399">
        <v>5</v>
      </c>
      <c r="AD15" s="399">
        <f t="shared" si="9"/>
        <v>0</v>
      </c>
      <c r="AE15" s="399">
        <v>0.85</v>
      </c>
      <c r="AF15" s="156">
        <v>0.46269863971313047</v>
      </c>
      <c r="AG15" s="53">
        <v>1</v>
      </c>
      <c r="AH15" s="53">
        <v>2.352704947693884</v>
      </c>
      <c r="AI15" s="53">
        <f t="shared" si="4"/>
        <v>3</v>
      </c>
      <c r="AJ15" s="53">
        <v>0.04</v>
      </c>
      <c r="AK15" s="53" t="e">
        <v>#DIV/0!</v>
      </c>
      <c r="AL15" s="53">
        <f t="shared" si="10"/>
        <v>1.1764705882352942</v>
      </c>
      <c r="AM15" s="53">
        <f t="shared" si="6"/>
        <v>0.1255</v>
      </c>
      <c r="AN15" s="53">
        <f t="shared" si="11"/>
        <v>0.5089685036844436</v>
      </c>
      <c r="AO15" s="53">
        <f t="shared" si="7"/>
        <v>1.2153564130960317</v>
      </c>
      <c r="AP15" s="53">
        <v>4.683229167</v>
      </c>
      <c r="AQ15" s="314">
        <f t="shared" si="8"/>
        <v>3.3547857052038785</v>
      </c>
    </row>
    <row r="16" spans="1:43" ht="12.75">
      <c r="A16" t="s">
        <v>570</v>
      </c>
      <c r="G16" s="272"/>
      <c r="H16" s="269">
        <v>148</v>
      </c>
      <c r="I16" s="86" t="s">
        <v>50</v>
      </c>
      <c r="J16" s="269" t="str">
        <f>+'Input Data'!I14</f>
        <v>CVD_Ins(C) </v>
      </c>
      <c r="K16" s="86"/>
      <c r="L16" s="269">
        <v>30</v>
      </c>
      <c r="M16" s="460">
        <v>1.5</v>
      </c>
      <c r="N16" s="262"/>
      <c r="O16" s="269">
        <v>3.204055556</v>
      </c>
      <c r="P16" s="85"/>
      <c r="Q16" s="75">
        <f t="shared" si="0"/>
        <v>0</v>
      </c>
      <c r="R16" s="22">
        <f t="shared" si="1"/>
        <v>37108.53314951581</v>
      </c>
      <c r="S16" s="22">
        <f t="shared" si="2"/>
        <v>0</v>
      </c>
      <c r="T16" s="71">
        <f>+'Input Data'!$J$14</f>
        <v>0.36</v>
      </c>
      <c r="U16" s="75">
        <f t="shared" si="3"/>
        <v>1.7895704643863721</v>
      </c>
      <c r="V16" s="75">
        <f t="shared" si="5"/>
        <v>0.03333333333333333</v>
      </c>
      <c r="AA16" s="99" t="s">
        <v>374</v>
      </c>
      <c r="AB16" s="399">
        <v>25</v>
      </c>
      <c r="AC16" s="399">
        <v>5</v>
      </c>
      <c r="AD16" s="399">
        <f t="shared" si="9"/>
        <v>0</v>
      </c>
      <c r="AE16" s="399">
        <f aca="true" t="shared" si="13" ref="AE16:AE22">AE15</f>
        <v>0.85</v>
      </c>
      <c r="AF16" s="156">
        <v>0.45885011045682506</v>
      </c>
      <c r="AG16" s="53">
        <v>1</v>
      </c>
      <c r="AH16" s="53">
        <v>2.5972647761707077</v>
      </c>
      <c r="AI16" s="53">
        <f t="shared" si="4"/>
        <v>3</v>
      </c>
      <c r="AJ16" s="53">
        <v>0.04</v>
      </c>
      <c r="AK16" s="53" t="e">
        <v>#DIV/0!</v>
      </c>
      <c r="AL16" s="53">
        <f t="shared" si="10"/>
        <v>1.1764705882352942</v>
      </c>
      <c r="AM16" s="53">
        <f t="shared" si="6"/>
        <v>0.1255</v>
      </c>
      <c r="AN16" s="53">
        <f t="shared" si="11"/>
        <v>0.5047351215025077</v>
      </c>
      <c r="AO16" s="53">
        <f t="shared" si="7"/>
        <v>1.2094920241973466</v>
      </c>
      <c r="AP16" s="53">
        <v>4.683229167</v>
      </c>
      <c r="AQ16" s="314">
        <f t="shared" si="8"/>
        <v>3.338598052071784</v>
      </c>
    </row>
    <row r="17" spans="1:43" ht="12.75">
      <c r="A17" t="s">
        <v>571</v>
      </c>
      <c r="G17" s="272"/>
      <c r="H17" s="269">
        <v>181</v>
      </c>
      <c r="I17" s="86" t="s">
        <v>50</v>
      </c>
      <c r="J17" s="269" t="str">
        <f>+'Input Data'!I14</f>
        <v>CVD_Ins(C) </v>
      </c>
      <c r="K17" s="86"/>
      <c r="L17" s="269">
        <v>30</v>
      </c>
      <c r="M17" s="460">
        <v>1.5</v>
      </c>
      <c r="N17" s="262"/>
      <c r="O17" s="269">
        <v>3.204055556</v>
      </c>
      <c r="P17" s="85"/>
      <c r="Q17" s="75">
        <f t="shared" si="0"/>
        <v>0</v>
      </c>
      <c r="R17" s="22">
        <f t="shared" si="1"/>
        <v>37021.21602794935</v>
      </c>
      <c r="S17" s="22">
        <f t="shared" si="2"/>
        <v>0</v>
      </c>
      <c r="T17" s="71">
        <f>+'Input Data'!$J$14</f>
        <v>0.36</v>
      </c>
      <c r="U17" s="75">
        <f t="shared" si="3"/>
        <v>1.7853595692491007</v>
      </c>
      <c r="V17" s="75">
        <f t="shared" si="5"/>
        <v>0.03333333333333333</v>
      </c>
      <c r="AA17" s="99" t="s">
        <v>375</v>
      </c>
      <c r="AB17" s="399">
        <v>25</v>
      </c>
      <c r="AC17" s="399">
        <v>5</v>
      </c>
      <c r="AD17" s="399">
        <f t="shared" si="9"/>
        <v>0</v>
      </c>
      <c r="AE17" s="399">
        <f t="shared" si="13"/>
        <v>0.85</v>
      </c>
      <c r="AF17" s="156">
        <v>0.5091418567178067</v>
      </c>
      <c r="AG17" s="53">
        <v>8</v>
      </c>
      <c r="AH17" s="53">
        <v>13.449030177451496</v>
      </c>
      <c r="AI17" s="53">
        <f t="shared" si="4"/>
        <v>14</v>
      </c>
      <c r="AJ17" s="53">
        <v>0.026041666666666664</v>
      </c>
      <c r="AK17" s="53">
        <v>6.82043650793652E-05</v>
      </c>
      <c r="AL17" s="53">
        <f t="shared" si="10"/>
        <v>0.7659313725490196</v>
      </c>
      <c r="AM17" s="53">
        <f t="shared" si="6"/>
        <v>0.2397394285714288</v>
      </c>
      <c r="AN17" s="53">
        <f t="shared" si="11"/>
        <v>0.5600560423895874</v>
      </c>
      <c r="AO17" s="53">
        <f t="shared" si="7"/>
        <v>0.6663966754890271</v>
      </c>
      <c r="AP17" s="53">
        <v>4.683229167</v>
      </c>
      <c r="AQ17" s="314">
        <f t="shared" si="8"/>
        <v>1.8394752492652773</v>
      </c>
    </row>
    <row r="18" spans="8:43" ht="12.75">
      <c r="H18" s="269">
        <v>214</v>
      </c>
      <c r="I18" s="86" t="s">
        <v>50</v>
      </c>
      <c r="J18" s="269" t="str">
        <f>+'Input Data'!I14</f>
        <v>CVD_Ins(C) </v>
      </c>
      <c r="K18" s="86"/>
      <c r="L18" s="269">
        <v>30</v>
      </c>
      <c r="M18" s="460">
        <v>1.5</v>
      </c>
      <c r="N18" s="262"/>
      <c r="O18" s="269">
        <v>3.204055556</v>
      </c>
      <c r="P18" s="85"/>
      <c r="Q18" s="75">
        <f t="shared" si="0"/>
        <v>0</v>
      </c>
      <c r="R18" s="22">
        <f t="shared" si="1"/>
        <v>36934.10436531838</v>
      </c>
      <c r="S18" s="22">
        <f t="shared" si="2"/>
        <v>0</v>
      </c>
      <c r="T18" s="71">
        <f>+'Input Data'!$J$14</f>
        <v>0.36</v>
      </c>
      <c r="U18" s="75">
        <f t="shared" si="3"/>
        <v>1.7811585824324065</v>
      </c>
      <c r="V18" s="75">
        <f t="shared" si="5"/>
        <v>0.03333333333333333</v>
      </c>
      <c r="AA18" s="99" t="s">
        <v>376</v>
      </c>
      <c r="AB18" s="399">
        <v>25</v>
      </c>
      <c r="AC18" s="399">
        <v>5</v>
      </c>
      <c r="AD18" s="399">
        <f t="shared" si="9"/>
        <v>0</v>
      </c>
      <c r="AE18" s="399">
        <f t="shared" si="13"/>
        <v>0.85</v>
      </c>
      <c r="AF18" s="156">
        <v>0.5261842220916476</v>
      </c>
      <c r="AG18" s="53">
        <v>3</v>
      </c>
      <c r="AH18" s="53">
        <v>6.949602933285911</v>
      </c>
      <c r="AI18" s="53">
        <f t="shared" si="4"/>
        <v>7</v>
      </c>
      <c r="AJ18" s="53">
        <v>0.035555555555555556</v>
      </c>
      <c r="AK18" s="53">
        <v>1.4814814814815159E-05</v>
      </c>
      <c r="AL18" s="53">
        <f t="shared" si="10"/>
        <v>1.0457516339869282</v>
      </c>
      <c r="AM18" s="53">
        <f t="shared" si="6"/>
        <v>0.1404062500000003</v>
      </c>
      <c r="AN18" s="53">
        <f t="shared" si="11"/>
        <v>0.5788026443008124</v>
      </c>
      <c r="AO18" s="53">
        <f t="shared" si="7"/>
        <v>0.9731890340683423</v>
      </c>
      <c r="AP18" s="53">
        <v>3.64147539</v>
      </c>
      <c r="AQ18" s="314">
        <f t="shared" si="8"/>
        <v>2.686323637061084</v>
      </c>
    </row>
    <row r="19" spans="8:43" ht="12.75">
      <c r="H19" s="269">
        <v>245</v>
      </c>
      <c r="I19" s="86" t="s">
        <v>50</v>
      </c>
      <c r="J19" s="269" t="str">
        <f>+'Input Data'!I14</f>
        <v>CVD_Ins(C) </v>
      </c>
      <c r="K19" s="86"/>
      <c r="L19" s="269">
        <v>30</v>
      </c>
      <c r="M19" s="460">
        <v>1.5</v>
      </c>
      <c r="N19" s="262"/>
      <c r="O19" s="269">
        <v>3.204055556</v>
      </c>
      <c r="P19" s="85"/>
      <c r="Q19" s="75">
        <f t="shared" si="0"/>
        <v>0</v>
      </c>
      <c r="R19" s="22">
        <f t="shared" si="1"/>
        <v>36852.45892407218</v>
      </c>
      <c r="S19" s="22">
        <f t="shared" si="2"/>
        <v>0</v>
      </c>
      <c r="T19" s="71">
        <f>+'Input Data'!$J$14</f>
        <v>0.36</v>
      </c>
      <c r="U19" s="75">
        <f t="shared" si="3"/>
        <v>1.777221205829098</v>
      </c>
      <c r="V19" s="75">
        <f t="shared" si="5"/>
        <v>0.03333333333333333</v>
      </c>
      <c r="AA19" s="99" t="s">
        <v>378</v>
      </c>
      <c r="AB19" s="399">
        <v>25</v>
      </c>
      <c r="AC19" s="399">
        <v>5</v>
      </c>
      <c r="AD19" s="399">
        <f t="shared" si="9"/>
        <v>0</v>
      </c>
      <c r="AE19" s="399">
        <f t="shared" si="13"/>
        <v>0.85</v>
      </c>
      <c r="AF19" s="156">
        <v>0.5703074699270176</v>
      </c>
      <c r="AG19" s="53">
        <v>5</v>
      </c>
      <c r="AH19" s="53">
        <v>9.666228303847756</v>
      </c>
      <c r="AI19" s="53">
        <f t="shared" si="4"/>
        <v>10</v>
      </c>
      <c r="AJ19" s="53">
        <v>0.03333333333333333</v>
      </c>
      <c r="AK19" s="53">
        <v>2.168404344971009E-19</v>
      </c>
      <c r="AL19" s="53">
        <f t="shared" si="10"/>
        <v>0.9803921568627452</v>
      </c>
      <c r="AM19" s="53">
        <f t="shared" si="6"/>
        <v>0.13060000000000022</v>
      </c>
      <c r="AN19" s="53">
        <f t="shared" si="11"/>
        <v>0.6273382169197195</v>
      </c>
      <c r="AO19" s="53">
        <f t="shared" si="7"/>
        <v>0.9022973923550934</v>
      </c>
      <c r="AP19" s="53">
        <v>4.189074074</v>
      </c>
      <c r="AQ19" s="314">
        <f t="shared" si="8"/>
        <v>2.4906392570098057</v>
      </c>
    </row>
    <row r="20" spans="8:43" ht="12.75">
      <c r="H20" s="269">
        <v>276</v>
      </c>
      <c r="I20" s="86" t="s">
        <v>51</v>
      </c>
      <c r="J20" s="269" t="str">
        <f>+'Input Data'!I14</f>
        <v>CVD_Ins(C) </v>
      </c>
      <c r="K20" s="86"/>
      <c r="L20" s="269">
        <v>25</v>
      </c>
      <c r="M20" s="460">
        <v>1.5</v>
      </c>
      <c r="N20" s="262"/>
      <c r="O20" s="269">
        <v>3.204055556</v>
      </c>
      <c r="P20" s="85"/>
      <c r="Q20" s="75">
        <f t="shared" si="0"/>
        <v>0</v>
      </c>
      <c r="R20" s="22">
        <f t="shared" si="1"/>
        <v>36770.99396582917</v>
      </c>
      <c r="S20" s="22">
        <f t="shared" si="2"/>
        <v>0</v>
      </c>
      <c r="T20" s="71">
        <f>+'Input Data'!$J$14</f>
        <v>0.36</v>
      </c>
      <c r="U20" s="75">
        <f t="shared" si="3"/>
        <v>2.1279510396891883</v>
      </c>
      <c r="V20" s="75">
        <f t="shared" si="5"/>
        <v>0.04</v>
      </c>
      <c r="AA20" s="99" t="s">
        <v>63</v>
      </c>
      <c r="AB20" s="399">
        <v>25</v>
      </c>
      <c r="AC20" s="399">
        <v>5</v>
      </c>
      <c r="AD20" s="399">
        <v>0</v>
      </c>
      <c r="AE20" s="399">
        <f t="shared" si="13"/>
        <v>0.85</v>
      </c>
      <c r="AF20" s="156">
        <v>0.5777955463833517</v>
      </c>
      <c r="AG20" s="53">
        <v>1</v>
      </c>
      <c r="AH20" s="53">
        <v>1.7778324504103131</v>
      </c>
      <c r="AI20" s="53">
        <f t="shared" si="4"/>
        <v>2</v>
      </c>
      <c r="AJ20" s="53">
        <v>0.03333333333333333</v>
      </c>
      <c r="AK20" s="53" t="e">
        <v>#DIV/0!</v>
      </c>
      <c r="AL20" s="53">
        <f t="shared" si="10"/>
        <v>0.9803921568627452</v>
      </c>
      <c r="AM20" s="53">
        <f t="shared" si="6"/>
        <v>0.1306</v>
      </c>
      <c r="AN20" s="53">
        <f t="shared" si="11"/>
        <v>0.6355751010216869</v>
      </c>
      <c r="AO20" s="53">
        <f t="shared" si="7"/>
        <v>1.5540946622109049</v>
      </c>
      <c r="AP20" s="53">
        <v>1.557967836</v>
      </c>
      <c r="AQ20" s="314">
        <f t="shared" si="8"/>
        <v>4.289815317662569</v>
      </c>
    </row>
    <row r="21" spans="1:43" ht="12.75">
      <c r="A21" t="s">
        <v>358</v>
      </c>
      <c r="G21" s="272"/>
      <c r="H21" s="269">
        <v>18</v>
      </c>
      <c r="I21" s="86" t="s">
        <v>52</v>
      </c>
      <c r="J21" s="269" t="str">
        <f>+'Input Data'!I15</f>
        <v>CVD_Ins(I)</v>
      </c>
      <c r="K21" s="86"/>
      <c r="L21" s="269">
        <v>50</v>
      </c>
      <c r="M21" s="460">
        <v>1.5</v>
      </c>
      <c r="N21" s="262"/>
      <c r="O21" s="269">
        <v>3.204055556</v>
      </c>
      <c r="P21" s="85"/>
      <c r="Q21" s="75">
        <f t="shared" si="0"/>
        <v>0</v>
      </c>
      <c r="R21" s="22">
        <f t="shared" si="1"/>
        <v>37454.51797164574</v>
      </c>
      <c r="S21" s="22">
        <f t="shared" si="2"/>
        <v>0</v>
      </c>
      <c r="T21" s="71">
        <f>+'Input Data'!$J$15</f>
        <v>0.36</v>
      </c>
      <c r="U21" s="75">
        <f t="shared" si="3"/>
        <v>1.0837534135314162</v>
      </c>
      <c r="V21" s="75">
        <f t="shared" si="5"/>
        <v>0.02</v>
      </c>
      <c r="AA21" s="99" t="s">
        <v>379</v>
      </c>
      <c r="AB21" s="399">
        <v>25</v>
      </c>
      <c r="AC21" s="399">
        <v>5</v>
      </c>
      <c r="AD21" s="399">
        <v>0</v>
      </c>
      <c r="AE21" s="399">
        <f t="shared" si="13"/>
        <v>0.85</v>
      </c>
      <c r="AF21" s="156">
        <v>0.6432136594861264</v>
      </c>
      <c r="AG21" s="53">
        <v>3</v>
      </c>
      <c r="AH21" s="53">
        <v>1.9791189522650043</v>
      </c>
      <c r="AI21" s="53">
        <f t="shared" si="4"/>
        <v>2</v>
      </c>
      <c r="AJ21" s="53">
        <v>0.0125</v>
      </c>
      <c r="AK21" s="53">
        <v>0</v>
      </c>
      <c r="AL21" s="53">
        <f t="shared" si="10"/>
        <v>0.36764705882352944</v>
      </c>
      <c r="AM21" s="53">
        <f t="shared" si="6"/>
        <v>0.1816</v>
      </c>
      <c r="AN21" s="53">
        <f t="shared" si="11"/>
        <v>0.7075350254347391</v>
      </c>
      <c r="AO21" s="53">
        <f t="shared" si="7"/>
        <v>0.8091725254625084</v>
      </c>
      <c r="AP21" s="53">
        <v>1.5579678360000002</v>
      </c>
      <c r="AQ21" s="314">
        <f t="shared" si="8"/>
        <v>2.2335838213500665</v>
      </c>
    </row>
    <row r="22" spans="7:43" ht="12.75">
      <c r="G22" s="272"/>
      <c r="H22" s="269">
        <v>135</v>
      </c>
      <c r="I22" s="86" t="s">
        <v>53</v>
      </c>
      <c r="J22" s="269" t="str">
        <f>+'Input Data'!I16</f>
        <v>CVD_Ins_Thin</v>
      </c>
      <c r="K22" s="86"/>
      <c r="L22" s="269">
        <v>100</v>
      </c>
      <c r="M22" s="460">
        <v>1</v>
      </c>
      <c r="N22" s="262"/>
      <c r="O22" s="269">
        <v>3.204055556</v>
      </c>
      <c r="P22" s="85"/>
      <c r="Q22" s="75">
        <f t="shared" si="0"/>
        <v>0</v>
      </c>
      <c r="R22" s="22">
        <f t="shared" si="1"/>
        <v>24761.991547460173</v>
      </c>
      <c r="S22" s="22">
        <f t="shared" si="2"/>
        <v>0</v>
      </c>
      <c r="T22" s="71">
        <f>+'Input Data'!$J$16</f>
        <v>0.36</v>
      </c>
      <c r="U22" s="75">
        <f t="shared" si="3"/>
        <v>0.5373696082348128</v>
      </c>
      <c r="V22" s="75">
        <f t="shared" si="5"/>
        <v>0.01</v>
      </c>
      <c r="AA22" s="99" t="s">
        <v>380</v>
      </c>
      <c r="AB22" s="399">
        <v>25</v>
      </c>
      <c r="AC22" s="399">
        <v>5</v>
      </c>
      <c r="AD22" s="399">
        <f t="shared" si="9"/>
        <v>0</v>
      </c>
      <c r="AE22" s="399">
        <f t="shared" si="13"/>
        <v>0.85</v>
      </c>
      <c r="AF22" s="156">
        <v>0.5762571522169696</v>
      </c>
      <c r="AG22" s="53">
        <v>8</v>
      </c>
      <c r="AH22" s="53">
        <v>5.319296789695104</v>
      </c>
      <c r="AI22" s="53">
        <f t="shared" si="4"/>
        <v>6</v>
      </c>
      <c r="AJ22" s="53">
        <v>0.0125</v>
      </c>
      <c r="AK22" s="53">
        <v>6.195440985631454E-20</v>
      </c>
      <c r="AL22" s="53">
        <f t="shared" si="10"/>
        <v>0.36764705882352944</v>
      </c>
      <c r="AM22" s="53">
        <f t="shared" si="6"/>
        <v>0.18160000000000043</v>
      </c>
      <c r="AN22" s="53">
        <f t="shared" si="11"/>
        <v>0.6338828674386666</v>
      </c>
      <c r="AO22" s="53">
        <f t="shared" si="7"/>
        <v>0.3761994577254411</v>
      </c>
      <c r="AP22" s="53">
        <v>1.5579678359999998</v>
      </c>
      <c r="AQ22" s="314">
        <f t="shared" si="8"/>
        <v>1.0384349393177046</v>
      </c>
    </row>
    <row r="23" spans="7:43" ht="12.75">
      <c r="G23" s="272"/>
      <c r="H23" s="269">
        <v>168</v>
      </c>
      <c r="I23" s="86" t="s">
        <v>53</v>
      </c>
      <c r="J23" s="269" t="str">
        <f>+'Input Data'!I16</f>
        <v>CVD_Ins_Thin</v>
      </c>
      <c r="K23" s="86"/>
      <c r="L23" s="269">
        <v>100</v>
      </c>
      <c r="M23" s="460">
        <v>1</v>
      </c>
      <c r="N23" s="262"/>
      <c r="O23" s="269">
        <v>3.204055556</v>
      </c>
      <c r="P23" s="85"/>
      <c r="Q23" s="75">
        <f t="shared" si="0"/>
        <v>0</v>
      </c>
      <c r="R23" s="22">
        <f t="shared" si="1"/>
        <v>24703.726085511953</v>
      </c>
      <c r="S23" s="22">
        <f t="shared" si="2"/>
        <v>0</v>
      </c>
      <c r="T23" s="71">
        <f>+'Input Data'!$J$16</f>
        <v>0.36</v>
      </c>
      <c r="U23" s="75">
        <f t="shared" si="3"/>
        <v>0.5361051667862837</v>
      </c>
      <c r="V23" s="75">
        <f t="shared" si="5"/>
        <v>0.01</v>
      </c>
      <c r="AA23" s="99" t="s">
        <v>381</v>
      </c>
      <c r="AB23" s="399">
        <v>150</v>
      </c>
      <c r="AC23" s="399">
        <v>5</v>
      </c>
      <c r="AD23" s="399">
        <v>0</v>
      </c>
      <c r="AE23" s="399">
        <v>0.893</v>
      </c>
      <c r="AF23" s="156">
        <v>0.46204447448851</v>
      </c>
      <c r="AG23" s="53">
        <v>6</v>
      </c>
      <c r="AH23" s="53">
        <v>8.31680054079318</v>
      </c>
      <c r="AI23" s="53">
        <f t="shared" si="4"/>
        <v>9</v>
      </c>
      <c r="AJ23" s="53">
        <v>0.02</v>
      </c>
      <c r="AK23" s="53">
        <v>0</v>
      </c>
      <c r="AL23" s="53">
        <f t="shared" si="10"/>
        <v>3.3594624860022395</v>
      </c>
      <c r="AM23" s="53">
        <f t="shared" si="6"/>
        <v>0.10637006666666668</v>
      </c>
      <c r="AN23" s="53">
        <f t="shared" si="11"/>
        <v>0.508248921937361</v>
      </c>
      <c r="AO23" s="53">
        <f t="shared" si="7"/>
        <v>3.0677138127401262</v>
      </c>
      <c r="AP23" s="53">
        <v>10.41560185</v>
      </c>
      <c r="AQ23" s="314">
        <f t="shared" si="8"/>
        <v>8.467904834944806</v>
      </c>
    </row>
    <row r="24" spans="1:43" ht="12.75">
      <c r="A24" s="7" t="s">
        <v>254</v>
      </c>
      <c r="B24">
        <f>COUNT(H2:H899)</f>
        <v>283</v>
      </c>
      <c r="G24" s="272"/>
      <c r="H24" s="269">
        <v>201</v>
      </c>
      <c r="I24" s="86" t="s">
        <v>53</v>
      </c>
      <c r="J24" s="269" t="str">
        <f>+'Input Data'!I16</f>
        <v>CVD_Ins_Thin</v>
      </c>
      <c r="K24" s="86"/>
      <c r="L24" s="269">
        <v>100</v>
      </c>
      <c r="M24" s="460">
        <v>1</v>
      </c>
      <c r="N24" s="262"/>
      <c r="O24" s="269">
        <v>3.204055556</v>
      </c>
      <c r="P24" s="85"/>
      <c r="Q24" s="75">
        <f t="shared" si="0"/>
        <v>0</v>
      </c>
      <c r="R24" s="22">
        <f t="shared" si="1"/>
        <v>24645.597723362418</v>
      </c>
      <c r="S24" s="22">
        <f t="shared" si="2"/>
        <v>0</v>
      </c>
      <c r="T24" s="71">
        <f>+'Input Data'!$J$16</f>
        <v>0.36</v>
      </c>
      <c r="U24" s="75">
        <f t="shared" si="3"/>
        <v>0.5348437005938025</v>
      </c>
      <c r="V24" s="75">
        <f t="shared" si="5"/>
        <v>0.01</v>
      </c>
      <c r="AA24" s="99" t="s">
        <v>382</v>
      </c>
      <c r="AB24" s="399">
        <v>150</v>
      </c>
      <c r="AC24" s="399">
        <v>5</v>
      </c>
      <c r="AD24" s="399">
        <f t="shared" si="9"/>
        <v>0</v>
      </c>
      <c r="AE24" s="399">
        <f>AE23</f>
        <v>0.893</v>
      </c>
      <c r="AF24" s="156">
        <v>0.38571985337814646</v>
      </c>
      <c r="AG24" s="53">
        <v>1</v>
      </c>
      <c r="AH24" s="53">
        <v>2.3143191202688786</v>
      </c>
      <c r="AI24" s="53">
        <f t="shared" si="4"/>
        <v>3</v>
      </c>
      <c r="AJ24" s="53">
        <v>0.03333333333333333</v>
      </c>
      <c r="AK24" s="53" t="e">
        <v>#DIV/0!</v>
      </c>
      <c r="AL24" s="53">
        <f t="shared" si="10"/>
        <v>5.599104143337066</v>
      </c>
      <c r="AM24" s="53">
        <f t="shared" si="6"/>
        <v>0.10382204</v>
      </c>
      <c r="AN24" s="53">
        <f t="shared" si="11"/>
        <v>0.42429183871596116</v>
      </c>
      <c r="AO24" s="53">
        <f t="shared" si="7"/>
        <v>5.503375209575994</v>
      </c>
      <c r="AP24" s="53">
        <v>14.27951389</v>
      </c>
      <c r="AQ24" s="314">
        <f t="shared" si="8"/>
        <v>15.191135937174764</v>
      </c>
    </row>
    <row r="25" spans="7:43" ht="12.75">
      <c r="G25" s="272"/>
      <c r="H25" s="269">
        <v>130</v>
      </c>
      <c r="I25" s="86" t="s">
        <v>54</v>
      </c>
      <c r="J25" s="269" t="str">
        <f>+'Input Data'!I17</f>
        <v>CVD_Met</v>
      </c>
      <c r="K25" s="86"/>
      <c r="L25" s="269">
        <v>60</v>
      </c>
      <c r="M25" s="460">
        <v>2</v>
      </c>
      <c r="N25" s="262"/>
      <c r="O25" s="269">
        <v>3.204055556</v>
      </c>
      <c r="P25" s="85"/>
      <c r="Q25" s="75">
        <f t="shared" si="0"/>
        <v>0</v>
      </c>
      <c r="R25" s="22">
        <f t="shared" si="1"/>
        <v>49541.66325602635</v>
      </c>
      <c r="S25" s="22">
        <f t="shared" si="2"/>
        <v>0</v>
      </c>
      <c r="T25" s="71">
        <f>+'Input Data'!$J$17</f>
        <v>0.52</v>
      </c>
      <c r="U25" s="75">
        <f t="shared" si="3"/>
        <v>1.1945810005793391</v>
      </c>
      <c r="V25" s="75">
        <f t="shared" si="5"/>
        <v>0.016666666666666666</v>
      </c>
      <c r="AA25" s="99" t="s">
        <v>384</v>
      </c>
      <c r="AB25" s="399">
        <v>25</v>
      </c>
      <c r="AC25" s="399">
        <v>5</v>
      </c>
      <c r="AD25" s="399">
        <f t="shared" si="9"/>
        <v>0</v>
      </c>
      <c r="AE25" s="399">
        <f>AE24</f>
        <v>0.893</v>
      </c>
      <c r="AF25" s="156">
        <v>0.46771661632537154</v>
      </c>
      <c r="AG25" s="53">
        <v>7</v>
      </c>
      <c r="AH25" s="53">
        <v>13.096065257110403</v>
      </c>
      <c r="AI25" s="53">
        <f t="shared" si="4"/>
        <v>14</v>
      </c>
      <c r="AJ25" s="53">
        <v>0.027346938775510206</v>
      </c>
      <c r="AK25" s="53">
        <v>1.0495626822157236E-05</v>
      </c>
      <c r="AL25" s="53">
        <f t="shared" si="10"/>
        <v>0.7655917910277213</v>
      </c>
      <c r="AM25" s="53">
        <f t="shared" si="6"/>
        <v>0.14198653891735324</v>
      </c>
      <c r="AN25" s="53">
        <f t="shared" si="11"/>
        <v>0.5144882779579087</v>
      </c>
      <c r="AO25" s="53">
        <f t="shared" si="7"/>
        <v>0.6899120298533156</v>
      </c>
      <c r="AP25" s="53">
        <v>3.1747916670000005</v>
      </c>
      <c r="AQ25" s="314">
        <f t="shared" si="8"/>
        <v>1.9043854055157836</v>
      </c>
    </row>
    <row r="26" spans="1:43" ht="12.75">
      <c r="A26" t="s">
        <v>205</v>
      </c>
      <c r="B26" s="82"/>
      <c r="C26" s="3">
        <f>SUM(V2:V899)</f>
        <v>3.8928333333333187</v>
      </c>
      <c r="D26" s="3">
        <f>SUM(W2:W899)</f>
        <v>0</v>
      </c>
      <c r="E26" s="3">
        <f>SUM(X2:X899)</f>
        <v>0</v>
      </c>
      <c r="G26" s="272"/>
      <c r="H26" s="269">
        <v>163</v>
      </c>
      <c r="I26" s="86" t="s">
        <v>54</v>
      </c>
      <c r="J26" s="269" t="str">
        <f>+'Input Data'!I18</f>
        <v>CVD_Met(C) </v>
      </c>
      <c r="K26" s="86"/>
      <c r="L26" s="269">
        <v>60</v>
      </c>
      <c r="M26" s="460">
        <v>2</v>
      </c>
      <c r="N26" s="262"/>
      <c r="O26" s="269">
        <v>3.204055556</v>
      </c>
      <c r="P26" s="85"/>
      <c r="Q26" s="75">
        <f t="shared" si="0"/>
        <v>0</v>
      </c>
      <c r="R26" s="22">
        <f t="shared" si="1"/>
        <v>49425.09073035681</v>
      </c>
      <c r="S26" s="22">
        <f t="shared" si="2"/>
        <v>0</v>
      </c>
      <c r="T26" s="71">
        <f>+'Input Data'!$J$18</f>
        <v>0.52</v>
      </c>
      <c r="U26" s="75">
        <f t="shared" si="3"/>
        <v>1.1917701275645451</v>
      </c>
      <c r="V26" s="75">
        <f t="shared" si="5"/>
        <v>0.016666666666666666</v>
      </c>
      <c r="AA26" s="99" t="s">
        <v>383</v>
      </c>
      <c r="AB26" s="399">
        <v>25</v>
      </c>
      <c r="AC26" s="399">
        <v>5</v>
      </c>
      <c r="AD26" s="399">
        <f t="shared" si="9"/>
        <v>0</v>
      </c>
      <c r="AE26" s="399">
        <f>AE25</f>
        <v>0.893</v>
      </c>
      <c r="AF26" s="156">
        <v>0.49276715215805866</v>
      </c>
      <c r="AG26" s="53">
        <v>2</v>
      </c>
      <c r="AH26" s="53">
        <v>3.9421372172644693</v>
      </c>
      <c r="AI26" s="53">
        <f t="shared" si="4"/>
        <v>4</v>
      </c>
      <c r="AJ26" s="53">
        <v>0.02857142857142857</v>
      </c>
      <c r="AK26" s="53">
        <v>0</v>
      </c>
      <c r="AL26" s="53">
        <f t="shared" si="10"/>
        <v>0.7998720204767237</v>
      </c>
      <c r="AM26" s="53">
        <f t="shared" si="6"/>
        <v>0.12675428</v>
      </c>
      <c r="AN26" s="53">
        <f t="shared" si="11"/>
        <v>0.5420438673738646</v>
      </c>
      <c r="AO26" s="53">
        <f t="shared" si="7"/>
        <v>0.8116814071426179</v>
      </c>
      <c r="AP26" s="53">
        <v>3.174791667</v>
      </c>
      <c r="AQ26" s="314">
        <f t="shared" si="8"/>
        <v>2.2405091646533024</v>
      </c>
    </row>
    <row r="27" spans="2:43" ht="13.5" thickBot="1">
      <c r="B27" s="82"/>
      <c r="G27" s="272"/>
      <c r="H27" s="269">
        <v>196</v>
      </c>
      <c r="I27" s="86" t="s">
        <v>54</v>
      </c>
      <c r="J27" s="269" t="str">
        <f>+'Input Data'!I18</f>
        <v>CVD_Met(C) </v>
      </c>
      <c r="K27" s="86"/>
      <c r="L27" s="269">
        <v>60</v>
      </c>
      <c r="M27" s="460">
        <v>2</v>
      </c>
      <c r="N27" s="262"/>
      <c r="O27" s="269">
        <v>3.204055556</v>
      </c>
      <c r="P27" s="85"/>
      <c r="Q27" s="75">
        <f aca="true" t="shared" si="14" ref="Q27:Q90">+WS*LY^(($H27-1)/$B$24)*P27</f>
        <v>0</v>
      </c>
      <c r="R27" s="22">
        <f t="shared" si="1"/>
        <v>49308.79250217442</v>
      </c>
      <c r="S27" s="22">
        <f t="shared" si="2"/>
        <v>0</v>
      </c>
      <c r="T27" s="71">
        <f>+'Input Data'!$J$17</f>
        <v>0.52</v>
      </c>
      <c r="U27" s="75">
        <f t="shared" si="3"/>
        <v>1.1889658685902398</v>
      </c>
      <c r="V27" s="75">
        <f t="shared" si="5"/>
        <v>0.016666666666666666</v>
      </c>
      <c r="AA27" s="99" t="s">
        <v>385</v>
      </c>
      <c r="AB27" s="399">
        <v>150</v>
      </c>
      <c r="AC27" s="399">
        <v>5</v>
      </c>
      <c r="AD27" s="399">
        <f t="shared" si="9"/>
        <v>0</v>
      </c>
      <c r="AE27" s="399">
        <f>AE26</f>
        <v>0.893</v>
      </c>
      <c r="AF27" s="156">
        <v>0.3844827378542996</v>
      </c>
      <c r="AG27" s="53">
        <v>1</v>
      </c>
      <c r="AH27" s="53">
        <v>2.3068964271257975</v>
      </c>
      <c r="AI27" s="53">
        <f t="shared" si="4"/>
        <v>3</v>
      </c>
      <c r="AJ27" s="53">
        <v>0.03333333333333333</v>
      </c>
      <c r="AK27" s="53" t="e">
        <v>#DIV/0!</v>
      </c>
      <c r="AL27" s="53">
        <f t="shared" si="10"/>
        <v>5.599104143337066</v>
      </c>
      <c r="AM27" s="53">
        <f t="shared" si="6"/>
        <v>0.10382204</v>
      </c>
      <c r="AN27" s="53">
        <f t="shared" si="11"/>
        <v>0.42293101163972957</v>
      </c>
      <c r="AO27" s="53">
        <f t="shared" si="7"/>
        <v>5.498978477878546</v>
      </c>
      <c r="AP27" s="53">
        <v>3.174791667</v>
      </c>
      <c r="AQ27" s="314">
        <f t="shared" si="8"/>
        <v>15.178999503377009</v>
      </c>
    </row>
    <row r="28" spans="1:43" ht="13.5" thickBot="1">
      <c r="A28" s="189" t="s">
        <v>206</v>
      </c>
      <c r="B28" s="198"/>
      <c r="C28" s="190" t="s">
        <v>207</v>
      </c>
      <c r="D28" s="198" t="s">
        <v>141</v>
      </c>
      <c r="E28" s="190" t="s">
        <v>138</v>
      </c>
      <c r="F28" s="203" t="s">
        <v>208</v>
      </c>
      <c r="G28" s="272"/>
      <c r="H28" s="269">
        <v>229</v>
      </c>
      <c r="I28" s="86" t="s">
        <v>54</v>
      </c>
      <c r="J28" s="269" t="str">
        <f>+'Input Data'!I18</f>
        <v>CVD_Met(C) </v>
      </c>
      <c r="K28" s="86"/>
      <c r="L28" s="269">
        <v>60</v>
      </c>
      <c r="M28" s="460">
        <v>2</v>
      </c>
      <c r="N28" s="262"/>
      <c r="O28" s="269">
        <v>3.204055556</v>
      </c>
      <c r="P28" s="85"/>
      <c r="Q28" s="75">
        <f t="shared" si="14"/>
        <v>0</v>
      </c>
      <c r="R28" s="22">
        <f t="shared" si="1"/>
        <v>49192.76792605172</v>
      </c>
      <c r="S28" s="22">
        <f t="shared" si="2"/>
        <v>0</v>
      </c>
      <c r="T28" s="71">
        <f>+'Input Data'!$J$17</f>
        <v>0.52</v>
      </c>
      <c r="U28" s="75">
        <f t="shared" si="3"/>
        <v>1.1861682080934537</v>
      </c>
      <c r="V28" s="75">
        <f t="shared" si="5"/>
        <v>0.016666666666666666</v>
      </c>
      <c r="AA28" s="99" t="s">
        <v>386</v>
      </c>
      <c r="AB28" s="399">
        <v>150</v>
      </c>
      <c r="AC28" s="399">
        <v>5</v>
      </c>
      <c r="AD28" s="399">
        <f t="shared" si="9"/>
        <v>0</v>
      </c>
      <c r="AE28" s="399">
        <f>AE27</f>
        <v>0.893</v>
      </c>
      <c r="AF28" s="156">
        <v>0.38363281165944274</v>
      </c>
      <c r="AG28" s="53">
        <v>1</v>
      </c>
      <c r="AH28" s="53">
        <v>2.3017968699566564</v>
      </c>
      <c r="AI28" s="53">
        <f t="shared" si="4"/>
        <v>3</v>
      </c>
      <c r="AJ28" s="53">
        <v>0.03333333333333333</v>
      </c>
      <c r="AK28" s="53" t="e">
        <v>#DIV/0!</v>
      </c>
      <c r="AL28" s="53">
        <f t="shared" si="10"/>
        <v>5.599104143337066</v>
      </c>
      <c r="AM28" s="53">
        <f t="shared" si="6"/>
        <v>0.10382204</v>
      </c>
      <c r="AN28" s="53">
        <f t="shared" si="11"/>
        <v>0.421996092825387</v>
      </c>
      <c r="AO28" s="53">
        <f t="shared" si="7"/>
        <v>5.495977072801907</v>
      </c>
      <c r="AP28" s="53">
        <v>3.174791667</v>
      </c>
      <c r="AQ28" s="314">
        <f t="shared" si="8"/>
        <v>15.170714632586732</v>
      </c>
    </row>
    <row r="29" spans="1:43" ht="12.75">
      <c r="A29" s="187"/>
      <c r="B29" s="188"/>
      <c r="C29" s="201"/>
      <c r="D29" s="188"/>
      <c r="E29" s="201"/>
      <c r="F29" s="202"/>
      <c r="G29" s="272"/>
      <c r="H29" s="269">
        <v>260</v>
      </c>
      <c r="I29" s="86" t="s">
        <v>54</v>
      </c>
      <c r="J29" s="269" t="str">
        <f>+'Input Data'!I18</f>
        <v>CVD_Met(C) </v>
      </c>
      <c r="K29" s="86"/>
      <c r="L29" s="269">
        <v>60</v>
      </c>
      <c r="M29" s="460">
        <v>2</v>
      </c>
      <c r="N29" s="262"/>
      <c r="O29" s="269">
        <v>3.204055556</v>
      </c>
      <c r="P29" s="85"/>
      <c r="Q29" s="75">
        <f t="shared" si="14"/>
        <v>0</v>
      </c>
      <c r="R29" s="22">
        <f t="shared" si="1"/>
        <v>49084.023844870855</v>
      </c>
      <c r="S29" s="22">
        <f t="shared" si="2"/>
        <v>0</v>
      </c>
      <c r="T29" s="71">
        <f>+'Input Data'!$J$17</f>
        <v>0.52</v>
      </c>
      <c r="U29" s="75">
        <f t="shared" si="3"/>
        <v>1.1835460996544862</v>
      </c>
      <c r="V29" s="75">
        <f t="shared" si="5"/>
        <v>0.016666666666666666</v>
      </c>
      <c r="AA29" s="99" t="s">
        <v>387</v>
      </c>
      <c r="AB29" s="399">
        <v>150</v>
      </c>
      <c r="AC29" s="399">
        <v>5</v>
      </c>
      <c r="AD29" s="399">
        <f t="shared" si="9"/>
        <v>0</v>
      </c>
      <c r="AE29" s="399">
        <v>0.8</v>
      </c>
      <c r="AF29" s="156">
        <v>0.34635576489094916</v>
      </c>
      <c r="AG29" s="53">
        <v>4</v>
      </c>
      <c r="AH29" s="53">
        <v>1.8721933237348602</v>
      </c>
      <c r="AI29" s="53">
        <f t="shared" si="4"/>
        <v>2</v>
      </c>
      <c r="AJ29" s="53">
        <v>0.005</v>
      </c>
      <c r="AK29" s="53">
        <v>0</v>
      </c>
      <c r="AL29" s="53">
        <f t="shared" si="10"/>
        <v>0.9375</v>
      </c>
      <c r="AM29" s="53">
        <f t="shared" si="6"/>
        <v>0.14266666666666666</v>
      </c>
      <c r="AN29" s="53">
        <f t="shared" si="11"/>
        <v>0.3809913413800441</v>
      </c>
      <c r="AO29" s="53">
        <f t="shared" si="7"/>
        <v>0.924465133591134</v>
      </c>
      <c r="AP29" s="53">
        <v>2.942098765</v>
      </c>
      <c r="AQ29" s="314">
        <f t="shared" si="8"/>
        <v>2.5518295552745593</v>
      </c>
    </row>
    <row r="30" spans="1:43" ht="12.75">
      <c r="A30" s="187"/>
      <c r="B30" s="188" t="s">
        <v>137</v>
      </c>
      <c r="C30" s="201">
        <f>+C26/WS/LY</f>
        <v>0.00015889115646258446</v>
      </c>
      <c r="D30" s="188">
        <f>+D26/WS/LY</f>
        <v>0</v>
      </c>
      <c r="E30" s="201">
        <f>+E26/WS/LY</f>
        <v>0</v>
      </c>
      <c r="F30" s="202">
        <f>+'Input Data'!B13</f>
        <v>200</v>
      </c>
      <c r="G30" s="272"/>
      <c r="H30" s="269">
        <v>131</v>
      </c>
      <c r="I30" s="86" t="s">
        <v>55</v>
      </c>
      <c r="J30" s="269" t="str">
        <f>+'Input Data'!I19</f>
        <v>CVD_MetW</v>
      </c>
      <c r="K30" s="86"/>
      <c r="L30" s="269">
        <v>70</v>
      </c>
      <c r="M30" s="460">
        <v>2</v>
      </c>
      <c r="N30" s="262"/>
      <c r="O30" s="269">
        <v>3.204055556</v>
      </c>
      <c r="P30" s="85"/>
      <c r="Q30" s="75">
        <f t="shared" si="14"/>
        <v>0</v>
      </c>
      <c r="R30" s="22">
        <f t="shared" si="1"/>
        <v>49538.126718929016</v>
      </c>
      <c r="S30" s="22">
        <f t="shared" si="2"/>
        <v>0</v>
      </c>
      <c r="T30" s="71">
        <f>+'Input Data'!$J$19</f>
        <v>0.52</v>
      </c>
      <c r="U30" s="75">
        <f t="shared" si="3"/>
        <v>1.0238534788138438</v>
      </c>
      <c r="V30" s="75">
        <f t="shared" si="5"/>
        <v>0.014285714285714285</v>
      </c>
      <c r="AA30" s="99" t="s">
        <v>388</v>
      </c>
      <c r="AB30" s="399">
        <v>150</v>
      </c>
      <c r="AC30" s="399">
        <v>5</v>
      </c>
      <c r="AD30" s="399">
        <f t="shared" si="9"/>
        <v>0</v>
      </c>
      <c r="AE30" s="399">
        <v>0.895</v>
      </c>
      <c r="AF30" s="156">
        <v>0.34556181980845113</v>
      </c>
      <c r="AG30" s="53">
        <v>6</v>
      </c>
      <c r="AH30" s="53">
        <v>3.2910649505566774</v>
      </c>
      <c r="AI30" s="53">
        <f t="shared" si="4"/>
        <v>4</v>
      </c>
      <c r="AJ30" s="53">
        <v>0.006666666666666667</v>
      </c>
      <c r="AK30" s="53">
        <v>1.0842021724855045E-20</v>
      </c>
      <c r="AL30" s="53">
        <f t="shared" si="10"/>
        <v>1.1173184357541899</v>
      </c>
      <c r="AM30" s="53">
        <f t="shared" si="6"/>
        <v>0.11879500000000026</v>
      </c>
      <c r="AN30" s="53">
        <f t="shared" si="11"/>
        <v>0.3801180017892963</v>
      </c>
      <c r="AO30" s="53">
        <f t="shared" si="7"/>
        <v>1.0426375084570705</v>
      </c>
      <c r="AP30" s="53">
        <v>2.9420987650000003</v>
      </c>
      <c r="AQ30" s="314">
        <f t="shared" si="8"/>
        <v>2.878024397938308</v>
      </c>
    </row>
    <row r="31" spans="1:43" ht="12.75">
      <c r="A31" s="187"/>
      <c r="B31" s="188"/>
      <c r="C31" s="201"/>
      <c r="D31" s="188"/>
      <c r="E31" s="201"/>
      <c r="F31" s="202"/>
      <c r="G31" s="272"/>
      <c r="H31" s="269">
        <v>164</v>
      </c>
      <c r="I31" s="86" t="s">
        <v>55</v>
      </c>
      <c r="J31" s="269" t="str">
        <f>+'Input Data'!I20</f>
        <v>CVD_MetW(C) </v>
      </c>
      <c r="K31" s="86"/>
      <c r="L31" s="269">
        <v>70</v>
      </c>
      <c r="M31" s="460">
        <v>2</v>
      </c>
      <c r="N31" s="262"/>
      <c r="O31" s="269">
        <v>3.204055556</v>
      </c>
      <c r="P31" s="85"/>
      <c r="Q31" s="75">
        <f t="shared" si="14"/>
        <v>0</v>
      </c>
      <c r="R31" s="22">
        <f t="shared" si="1"/>
        <v>49421.56251480207</v>
      </c>
      <c r="S31" s="22">
        <f t="shared" si="2"/>
        <v>0</v>
      </c>
      <c r="T31" s="71">
        <f>+'Input Data'!$J$20</f>
        <v>0.52</v>
      </c>
      <c r="U31" s="75">
        <f t="shared" si="3"/>
        <v>1.0214443310764316</v>
      </c>
      <c r="V31" s="75">
        <f t="shared" si="5"/>
        <v>0.014285714285714285</v>
      </c>
      <c r="AA31" s="99" t="s">
        <v>389</v>
      </c>
      <c r="AB31" s="399">
        <v>25</v>
      </c>
      <c r="AC31" s="399">
        <v>5</v>
      </c>
      <c r="AD31" s="399">
        <f t="shared" si="9"/>
        <v>0</v>
      </c>
      <c r="AE31" s="399">
        <v>0.95</v>
      </c>
      <c r="AF31" s="156">
        <v>0.295143567302125</v>
      </c>
      <c r="AG31" s="53">
        <v>43</v>
      </c>
      <c r="AH31" s="53">
        <v>24.595297275177085</v>
      </c>
      <c r="AI31" s="53">
        <f t="shared" si="4"/>
        <v>25</v>
      </c>
      <c r="AJ31" s="53">
        <v>0.005</v>
      </c>
      <c r="AK31" s="53">
        <v>0</v>
      </c>
      <c r="AL31" s="53">
        <f t="shared" si="10"/>
        <v>0.13157894736842105</v>
      </c>
      <c r="AM31" s="53">
        <f t="shared" si="6"/>
        <v>0.17600000000000007</v>
      </c>
      <c r="AN31" s="53">
        <f t="shared" si="11"/>
        <v>0.3246579240323375</v>
      </c>
      <c r="AO31" s="53">
        <f t="shared" si="7"/>
        <v>0.12500597045568293</v>
      </c>
      <c r="AP31" s="53">
        <v>0.903689235999999</v>
      </c>
      <c r="AQ31" s="314">
        <f t="shared" si="8"/>
        <v>0.3450578268489599</v>
      </c>
    </row>
    <row r="32" spans="1:43" ht="13.5" thickBot="1">
      <c r="A32" s="191"/>
      <c r="B32" s="205" t="s">
        <v>137</v>
      </c>
      <c r="C32" s="204">
        <f>+C30</f>
        <v>0.00015889115646258446</v>
      </c>
      <c r="D32" s="192">
        <f>+D30+E30+F30</f>
        <v>200</v>
      </c>
      <c r="E32" s="204"/>
      <c r="F32" s="205"/>
      <c r="G32" s="272"/>
      <c r="H32" s="269">
        <v>197</v>
      </c>
      <c r="I32" s="86" t="s">
        <v>55</v>
      </c>
      <c r="J32" s="269" t="str">
        <f>+'Input Data'!I20</f>
        <v>CVD_MetW(C) </v>
      </c>
      <c r="K32" s="86"/>
      <c r="L32" s="269">
        <v>70</v>
      </c>
      <c r="M32" s="460">
        <v>2</v>
      </c>
      <c r="N32" s="262"/>
      <c r="O32" s="269">
        <v>3.204055556</v>
      </c>
      <c r="P32" s="85"/>
      <c r="Q32" s="75">
        <f t="shared" si="14"/>
        <v>0</v>
      </c>
      <c r="R32" s="22">
        <f t="shared" si="1"/>
        <v>49305.27258858153</v>
      </c>
      <c r="S32" s="22">
        <f t="shared" si="2"/>
        <v>0</v>
      </c>
      <c r="T32" s="71">
        <f>+'Input Data'!$J$20</f>
        <v>0.52</v>
      </c>
      <c r="U32" s="75">
        <f t="shared" si="3"/>
        <v>1.0190408521118868</v>
      </c>
      <c r="V32" s="75">
        <f t="shared" si="5"/>
        <v>0.014285714285714285</v>
      </c>
      <c r="AA32" s="99" t="s">
        <v>390</v>
      </c>
      <c r="AB32" s="399">
        <v>25</v>
      </c>
      <c r="AC32" s="399">
        <v>5</v>
      </c>
      <c r="AD32" s="399">
        <f t="shared" si="9"/>
        <v>0</v>
      </c>
      <c r="AE32" s="399">
        <f>AE31</f>
        <v>0.95</v>
      </c>
      <c r="AF32" s="156">
        <v>0.3451961890658071</v>
      </c>
      <c r="AG32" s="53">
        <v>2</v>
      </c>
      <c r="AH32" s="53">
        <v>0.9862748259023061</v>
      </c>
      <c r="AI32" s="53">
        <f t="shared" si="4"/>
        <v>1</v>
      </c>
      <c r="AJ32" s="53">
        <v>0.005</v>
      </c>
      <c r="AK32" s="53">
        <v>0</v>
      </c>
      <c r="AL32" s="53">
        <f t="shared" si="10"/>
        <v>0.13157894736842105</v>
      </c>
      <c r="AM32" s="53">
        <f t="shared" si="6"/>
        <v>0.17600000000000007</v>
      </c>
      <c r="AN32" s="53">
        <f t="shared" si="11"/>
        <v>0.37971580797238785</v>
      </c>
      <c r="AO32" s="53">
        <f t="shared" si="7"/>
        <v>0.17651468850485946</v>
      </c>
      <c r="AP32" s="53">
        <v>0.695802469</v>
      </c>
      <c r="AQ32" s="314">
        <f t="shared" si="8"/>
        <v>0.48723892627193266</v>
      </c>
    </row>
    <row r="33" spans="7:43" ht="12.75">
      <c r="G33" s="272"/>
      <c r="H33" s="269">
        <v>230</v>
      </c>
      <c r="I33" s="86" t="s">
        <v>55</v>
      </c>
      <c r="J33" s="269" t="str">
        <f>+'Input Data'!I20</f>
        <v>CVD_MetW(C) </v>
      </c>
      <c r="K33" s="86"/>
      <c r="L33" s="269">
        <v>70</v>
      </c>
      <c r="M33" s="460">
        <v>2</v>
      </c>
      <c r="N33" s="262"/>
      <c r="O33" s="269">
        <v>3.204055556</v>
      </c>
      <c r="P33" s="85"/>
      <c r="Q33" s="75">
        <f t="shared" si="14"/>
        <v>0</v>
      </c>
      <c r="R33" s="22">
        <f t="shared" si="1"/>
        <v>49189.256294886</v>
      </c>
      <c r="S33" s="22">
        <f t="shared" si="2"/>
        <v>0</v>
      </c>
      <c r="T33" s="71">
        <f>+'Input Data'!$J$20</f>
        <v>0.52</v>
      </c>
      <c r="U33" s="75">
        <f t="shared" si="3"/>
        <v>1.0166430285814732</v>
      </c>
      <c r="V33" s="75">
        <f t="shared" si="5"/>
        <v>0.014285714285714285</v>
      </c>
      <c r="AA33" s="99" t="s">
        <v>391</v>
      </c>
      <c r="AB33" s="399">
        <v>25</v>
      </c>
      <c r="AC33" s="399">
        <v>45</v>
      </c>
      <c r="AD33" s="399">
        <v>1</v>
      </c>
      <c r="AE33" s="399">
        <v>0.9</v>
      </c>
      <c r="AF33" s="156">
        <v>0.6902209279944935</v>
      </c>
      <c r="AG33" s="53">
        <v>2</v>
      </c>
      <c r="AH33" s="53">
        <v>3.4511046399724674</v>
      </c>
      <c r="AI33" s="53">
        <f t="shared" si="4"/>
        <v>4</v>
      </c>
      <c r="AJ33" s="53">
        <v>0.04</v>
      </c>
      <c r="AK33" s="53">
        <v>0</v>
      </c>
      <c r="AL33" s="53">
        <f t="shared" si="10"/>
        <v>1.1111111111111112</v>
      </c>
      <c r="AM33" s="53">
        <f t="shared" si="6"/>
        <v>0.118</v>
      </c>
      <c r="AN33" s="53">
        <f t="shared" si="11"/>
        <v>0.7592430207939429</v>
      </c>
      <c r="AO33" s="53">
        <f t="shared" si="7"/>
        <v>4.350272781560159</v>
      </c>
      <c r="AP33" s="53">
        <v>11.08736111</v>
      </c>
      <c r="AQ33" s="314">
        <f t="shared" si="8"/>
        <v>12.008191822625756</v>
      </c>
    </row>
    <row r="34" spans="7:43" ht="12.75">
      <c r="G34" s="272"/>
      <c r="H34" s="269">
        <v>261</v>
      </c>
      <c r="I34" s="86" t="s">
        <v>55</v>
      </c>
      <c r="J34" s="269" t="str">
        <f>+'Input Data'!I20</f>
        <v>CVD_MetW(C) </v>
      </c>
      <c r="K34" s="86"/>
      <c r="L34" s="269">
        <v>70</v>
      </c>
      <c r="M34" s="460">
        <v>2</v>
      </c>
      <c r="N34" s="262"/>
      <c r="O34" s="269">
        <v>3.204055556</v>
      </c>
      <c r="P34" s="85"/>
      <c r="Q34" s="75">
        <f t="shared" si="14"/>
        <v>0</v>
      </c>
      <c r="R34" s="22">
        <f t="shared" si="1"/>
        <v>49080.51997641337</v>
      </c>
      <c r="S34" s="22">
        <f t="shared" si="2"/>
        <v>0</v>
      </c>
      <c r="T34" s="71">
        <f>+'Input Data'!$J$20</f>
        <v>0.52</v>
      </c>
      <c r="U34" s="75">
        <f t="shared" si="3"/>
        <v>1.0143956675019299</v>
      </c>
      <c r="V34" s="75">
        <f t="shared" si="5"/>
        <v>0.014285714285714285</v>
      </c>
      <c r="AA34" s="99" t="s">
        <v>392</v>
      </c>
      <c r="AB34" s="399">
        <v>25</v>
      </c>
      <c r="AC34" s="399">
        <v>45</v>
      </c>
      <c r="AD34" s="399">
        <v>1</v>
      </c>
      <c r="AE34" s="399">
        <f>AE33</f>
        <v>0.9</v>
      </c>
      <c r="AF34" s="156">
        <v>0.7285688742123191</v>
      </c>
      <c r="AG34" s="53">
        <v>7</v>
      </c>
      <c r="AH34" s="53">
        <v>10.017822020419386</v>
      </c>
      <c r="AI34" s="53">
        <f t="shared" si="4"/>
        <v>11</v>
      </c>
      <c r="AJ34" s="53">
        <v>0.03333333333333333</v>
      </c>
      <c r="AK34" s="53">
        <v>2.8912057932946783E-19</v>
      </c>
      <c r="AL34" s="53">
        <f t="shared" si="10"/>
        <v>0.9259259259259259</v>
      </c>
      <c r="AM34" s="53">
        <f t="shared" si="6"/>
        <v>0.12160000000000026</v>
      </c>
      <c r="AN34" s="53">
        <f t="shared" si="11"/>
        <v>0.8014257616335511</v>
      </c>
      <c r="AO34" s="53">
        <f t="shared" si="7"/>
        <v>5.05500173507233</v>
      </c>
      <c r="AP34" s="53">
        <v>6.055173611</v>
      </c>
      <c r="AQ34" s="314">
        <f t="shared" si="8"/>
        <v>13.953476838453545</v>
      </c>
    </row>
    <row r="35" spans="1:43" ht="15">
      <c r="A35" s="266" t="s">
        <v>337</v>
      </c>
      <c r="B35" s="47"/>
      <c r="G35" s="272"/>
      <c r="H35" s="269">
        <v>9</v>
      </c>
      <c r="I35" s="86" t="s">
        <v>56</v>
      </c>
      <c r="J35" s="269" t="str">
        <f>+'Input Data'!I21</f>
        <v>Dry_Etch</v>
      </c>
      <c r="K35" s="86"/>
      <c r="L35" s="269">
        <v>25</v>
      </c>
      <c r="M35" s="460">
        <v>1.5</v>
      </c>
      <c r="N35" s="262"/>
      <c r="O35" s="269">
        <v>4.683229167</v>
      </c>
      <c r="P35" s="85"/>
      <c r="Q35" s="75">
        <f t="shared" si="14"/>
        <v>0</v>
      </c>
      <c r="R35" s="22">
        <f t="shared" si="1"/>
        <v>37478.58981676357</v>
      </c>
      <c r="S35" s="22">
        <f t="shared" si="2"/>
        <v>0</v>
      </c>
      <c r="T35" s="71">
        <f>+'Input Data'!$J$21</f>
        <v>0.41000000000000003</v>
      </c>
      <c r="U35" s="75">
        <f t="shared" si="3"/>
        <v>2.352704947693884</v>
      </c>
      <c r="V35" s="75">
        <f t="shared" si="5"/>
        <v>0.04</v>
      </c>
      <c r="AA35" s="99" t="s">
        <v>393</v>
      </c>
      <c r="AB35" s="399">
        <v>25</v>
      </c>
      <c r="AC35" s="399">
        <v>45</v>
      </c>
      <c r="AD35" s="399">
        <v>1</v>
      </c>
      <c r="AE35" s="399">
        <f>AE34</f>
        <v>0.9</v>
      </c>
      <c r="AF35" s="156">
        <v>0.7813237165071371</v>
      </c>
      <c r="AG35" s="53">
        <v>10</v>
      </c>
      <c r="AH35" s="53">
        <v>10.743201101973133</v>
      </c>
      <c r="AI35" s="53">
        <f t="shared" si="4"/>
        <v>11</v>
      </c>
      <c r="AJ35" s="53">
        <v>0.025</v>
      </c>
      <c r="AK35" s="53">
        <v>3.854941057726238E-19</v>
      </c>
      <c r="AL35" s="53">
        <f t="shared" si="10"/>
        <v>0.6944444444444444</v>
      </c>
      <c r="AM35" s="53">
        <f t="shared" si="6"/>
        <v>0.1288000000000006</v>
      </c>
      <c r="AN35" s="53">
        <f t="shared" si="11"/>
        <v>0.8406618582535685</v>
      </c>
      <c r="AO35" s="53">
        <f t="shared" si="7"/>
        <v>6.177798508703635</v>
      </c>
      <c r="AP35" s="53">
        <v>6.055173611</v>
      </c>
      <c r="AQ35" s="314">
        <f t="shared" si="8"/>
        <v>17.0527673226596</v>
      </c>
    </row>
    <row r="36" spans="1:43" ht="12.75">
      <c r="A36" s="267" t="s">
        <v>338</v>
      </c>
      <c r="B36" s="268" t="s">
        <v>339</v>
      </c>
      <c r="G36" s="272"/>
      <c r="H36" s="269">
        <v>126</v>
      </c>
      <c r="I36" s="86" t="s">
        <v>57</v>
      </c>
      <c r="J36" s="269" t="str">
        <f>+'Input Data'!I22</f>
        <v>Dry_Etch(A)</v>
      </c>
      <c r="K36" s="86"/>
      <c r="L36" s="269">
        <v>25</v>
      </c>
      <c r="M36" s="460">
        <v>1.5</v>
      </c>
      <c r="N36" s="262"/>
      <c r="O36" s="269">
        <v>4.683229167</v>
      </c>
      <c r="P36" s="85"/>
      <c r="Q36" s="75">
        <f t="shared" si="14"/>
        <v>0</v>
      </c>
      <c r="R36" s="22">
        <f t="shared" si="1"/>
        <v>37166.85894700283</v>
      </c>
      <c r="S36" s="22">
        <f t="shared" si="2"/>
        <v>0</v>
      </c>
      <c r="T36" s="71">
        <f>+'Input Data'!$J$22</f>
        <v>0.47</v>
      </c>
      <c r="U36" s="75">
        <f t="shared" si="3"/>
        <v>2.5972647761707077</v>
      </c>
      <c r="V36" s="75">
        <f t="shared" si="5"/>
        <v>0.04</v>
      </c>
      <c r="AA36" s="99" t="s">
        <v>90</v>
      </c>
      <c r="AB36" s="399">
        <v>25</v>
      </c>
      <c r="AC36" s="399">
        <v>5</v>
      </c>
      <c r="AD36" s="399">
        <v>0</v>
      </c>
      <c r="AE36" s="399">
        <v>0.95</v>
      </c>
      <c r="AF36" s="156">
        <v>0.34354588686118986</v>
      </c>
      <c r="AG36" s="53">
        <v>30</v>
      </c>
      <c r="AH36" s="53">
        <v>14.723395151193854</v>
      </c>
      <c r="AI36" s="53">
        <f t="shared" si="4"/>
        <v>15</v>
      </c>
      <c r="AJ36" s="53">
        <v>0.005</v>
      </c>
      <c r="AK36" s="53">
        <v>0</v>
      </c>
      <c r="AL36" s="53">
        <f t="shared" si="10"/>
        <v>0.13157894736842105</v>
      </c>
      <c r="AM36" s="53">
        <f t="shared" si="6"/>
        <v>0.17600000000000007</v>
      </c>
      <c r="AN36" s="53">
        <f t="shared" si="11"/>
        <v>0.3779004755473089</v>
      </c>
      <c r="AO36" s="53">
        <f t="shared" si="7"/>
        <v>0.1251170498185682</v>
      </c>
      <c r="AP36" s="53">
        <v>0.9036892359999994</v>
      </c>
      <c r="AQ36" s="314">
        <f t="shared" si="8"/>
        <v>0.34536444263239197</v>
      </c>
    </row>
    <row r="37" spans="1:43" ht="12.75">
      <c r="A37" s="5" t="str">
        <f>+'Input Data'!I9</f>
        <v>CMP_Ins</v>
      </c>
      <c r="B37" s="53" t="str">
        <f>+'Input Data'!A17</f>
        <v>248_Mask</v>
      </c>
      <c r="G37" s="272"/>
      <c r="H37" s="269">
        <v>140</v>
      </c>
      <c r="I37" s="86" t="s">
        <v>58</v>
      </c>
      <c r="J37" s="269" t="str">
        <f>+'Input Data'!I23</f>
        <v>Dry_Etch(C) </v>
      </c>
      <c r="K37" s="86"/>
      <c r="L37" s="269">
        <v>60</v>
      </c>
      <c r="M37" s="460">
        <v>1.5</v>
      </c>
      <c r="N37" s="262"/>
      <c r="O37" s="269">
        <v>4.683229167</v>
      </c>
      <c r="P37" s="85"/>
      <c r="Q37" s="75">
        <f t="shared" si="14"/>
        <v>0</v>
      </c>
      <c r="R37" s="22">
        <f t="shared" si="1"/>
        <v>37129.73193256103</v>
      </c>
      <c r="S37" s="22">
        <f t="shared" si="2"/>
        <v>0</v>
      </c>
      <c r="T37" s="71">
        <f>+'Input Data'!$J$23</f>
        <v>0.47</v>
      </c>
      <c r="U37" s="75">
        <f t="shared" si="3"/>
        <v>1.0811126232401884</v>
      </c>
      <c r="V37" s="75">
        <f t="shared" si="5"/>
        <v>0.016666666666666666</v>
      </c>
      <c r="AA37" s="99" t="s">
        <v>91</v>
      </c>
      <c r="AB37" s="399">
        <v>25</v>
      </c>
      <c r="AC37" s="399">
        <v>5</v>
      </c>
      <c r="AD37" s="399">
        <f t="shared" si="9"/>
        <v>0</v>
      </c>
      <c r="AE37" s="399">
        <f>AE36</f>
        <v>0.95</v>
      </c>
      <c r="AF37" s="156">
        <v>0.3445901632559671</v>
      </c>
      <c r="AG37" s="53">
        <v>24</v>
      </c>
      <c r="AH37" s="53">
        <v>11.814519883061728</v>
      </c>
      <c r="AI37" s="53">
        <f t="shared" si="4"/>
        <v>12</v>
      </c>
      <c r="AJ37" s="53">
        <v>0.005</v>
      </c>
      <c r="AK37" s="53">
        <v>0</v>
      </c>
      <c r="AL37" s="53">
        <f t="shared" si="10"/>
        <v>0.13157894736842105</v>
      </c>
      <c r="AM37" s="53">
        <f t="shared" si="6"/>
        <v>0.17600000000000007</v>
      </c>
      <c r="AN37" s="53">
        <f t="shared" si="11"/>
        <v>0.3790491795815638</v>
      </c>
      <c r="AO37" s="53">
        <f t="shared" si="7"/>
        <v>0.12524824679579494</v>
      </c>
      <c r="AP37" s="53">
        <v>0.48333333299999975</v>
      </c>
      <c r="AQ37" s="314">
        <f t="shared" si="8"/>
        <v>0.3457265896857366</v>
      </c>
    </row>
    <row r="38" spans="1:43" ht="12.75">
      <c r="A38" s="5" t="str">
        <f>+'Input Data'!I10</f>
        <v>CMP_Ins(C) </v>
      </c>
      <c r="B38" s="53" t="str">
        <f>+'Input Data'!A18</f>
        <v>248C_Mask</v>
      </c>
      <c r="G38" s="272"/>
      <c r="H38" s="269">
        <v>158</v>
      </c>
      <c r="I38" s="86" t="s">
        <v>59</v>
      </c>
      <c r="J38" s="269" t="str">
        <f>+'Input Data'!I23</f>
        <v>Dry_Etch(C) </v>
      </c>
      <c r="K38" s="86"/>
      <c r="L38" s="269">
        <v>30</v>
      </c>
      <c r="M38" s="460">
        <v>1.5</v>
      </c>
      <c r="N38" s="262"/>
      <c r="O38" s="269">
        <v>4.683229167</v>
      </c>
      <c r="P38" s="85"/>
      <c r="Q38" s="75">
        <f t="shared" si="14"/>
        <v>0</v>
      </c>
      <c r="R38" s="22">
        <f t="shared" si="1"/>
        <v>37082.05169001802</v>
      </c>
      <c r="S38" s="22">
        <f t="shared" si="2"/>
        <v>0</v>
      </c>
      <c r="T38" s="71">
        <f>+'Input Data'!$J$23</f>
        <v>0.47</v>
      </c>
      <c r="U38" s="75">
        <f t="shared" si="3"/>
        <v>2.1594486192649676</v>
      </c>
      <c r="V38" s="75">
        <f t="shared" si="5"/>
        <v>0.03333333333333333</v>
      </c>
      <c r="AA38" s="99" t="s">
        <v>92</v>
      </c>
      <c r="AB38" s="399">
        <v>25</v>
      </c>
      <c r="AC38" s="399">
        <v>5</v>
      </c>
      <c r="AD38" s="399">
        <f t="shared" si="9"/>
        <v>0</v>
      </c>
      <c r="AE38" s="399">
        <f>AE37</f>
        <v>0.95</v>
      </c>
      <c r="AF38" s="156">
        <v>0.2811264875081301</v>
      </c>
      <c r="AG38" s="53">
        <v>18</v>
      </c>
      <c r="AH38" s="53">
        <v>10.307971208631438</v>
      </c>
      <c r="AI38" s="53">
        <f t="shared" si="4"/>
        <v>11</v>
      </c>
      <c r="AJ38" s="53">
        <v>0.005</v>
      </c>
      <c r="AK38" s="53">
        <v>3.188829919075013E-21</v>
      </c>
      <c r="AL38" s="53">
        <f t="shared" si="10"/>
        <v>0.13157894736842105</v>
      </c>
      <c r="AM38" s="53">
        <f t="shared" si="6"/>
        <v>0.1760000000000002</v>
      </c>
      <c r="AN38" s="53">
        <f t="shared" si="11"/>
        <v>0.3092391362589431</v>
      </c>
      <c r="AO38" s="53">
        <f t="shared" si="7"/>
        <v>0.12513113614263197</v>
      </c>
      <c r="AP38" s="53">
        <v>1.0892592589999999</v>
      </c>
      <c r="AQ38" s="314">
        <f t="shared" si="8"/>
        <v>0.34540332554616016</v>
      </c>
    </row>
    <row r="39" spans="1:43" ht="12.75">
      <c r="A39" s="5" t="str">
        <f>+'Input Data'!I11</f>
        <v>CMP_Ins(I)</v>
      </c>
      <c r="B39" s="53" t="str">
        <f>+'Input Data'!A19</f>
        <v>Iw_Mask</v>
      </c>
      <c r="G39" s="272"/>
      <c r="H39" s="269">
        <v>173</v>
      </c>
      <c r="I39" s="86" t="s">
        <v>58</v>
      </c>
      <c r="J39" s="269" t="str">
        <f>+'Input Data'!I23</f>
        <v>Dry_Etch(C) </v>
      </c>
      <c r="K39" s="86"/>
      <c r="L39" s="269">
        <v>60</v>
      </c>
      <c r="M39" s="460">
        <v>1.5</v>
      </c>
      <c r="N39" s="262"/>
      <c r="O39" s="269">
        <v>4.683229167</v>
      </c>
      <c r="P39" s="85"/>
      <c r="Q39" s="75">
        <f t="shared" si="14"/>
        <v>0</v>
      </c>
      <c r="R39" s="22">
        <f t="shared" si="1"/>
        <v>37042.36492983357</v>
      </c>
      <c r="S39" s="22">
        <f t="shared" si="2"/>
        <v>0</v>
      </c>
      <c r="T39" s="71">
        <f>+'Input Data'!$J$23</f>
        <v>0.47</v>
      </c>
      <c r="U39" s="75">
        <f t="shared" si="3"/>
        <v>1.0785687435893772</v>
      </c>
      <c r="V39" s="75">
        <f t="shared" si="5"/>
        <v>0.016666666666666666</v>
      </c>
      <c r="AA39" s="99" t="s">
        <v>395</v>
      </c>
      <c r="AB39" s="399">
        <v>25</v>
      </c>
      <c r="AC39" s="399">
        <v>5</v>
      </c>
      <c r="AD39" s="399">
        <f t="shared" si="9"/>
        <v>0</v>
      </c>
      <c r="AE39" s="399">
        <v>0.854</v>
      </c>
      <c r="AF39" s="156">
        <v>0.28715006354196104</v>
      </c>
      <c r="AG39" s="53">
        <v>1</v>
      </c>
      <c r="AH39" s="53">
        <v>1.12607868055671</v>
      </c>
      <c r="AI39" s="53">
        <f t="shared" si="4"/>
        <v>2</v>
      </c>
      <c r="AJ39" s="53">
        <v>0.016666666666666666</v>
      </c>
      <c r="AK39" s="53" t="e">
        <v>#DIV/0!</v>
      </c>
      <c r="AL39" s="53">
        <f t="shared" si="10"/>
        <v>0.48790007806401253</v>
      </c>
      <c r="AM39" s="53">
        <f t="shared" si="6"/>
        <v>0.15984832000000002</v>
      </c>
      <c r="AN39" s="53">
        <f t="shared" si="11"/>
        <v>0.31586506989615715</v>
      </c>
      <c r="AO39" s="53">
        <f t="shared" si="7"/>
        <v>0.4697701000237559</v>
      </c>
      <c r="AP39" s="53">
        <v>3.204055556</v>
      </c>
      <c r="AQ39" s="314">
        <f t="shared" si="8"/>
        <v>1.2967208625469822</v>
      </c>
    </row>
    <row r="40" spans="1:43" ht="12.75">
      <c r="A40" s="5" t="str">
        <f>+'Input Data'!I12</f>
        <v>CMP_Met</v>
      </c>
      <c r="B40" s="53" t="str">
        <f>+'Input Data'!A20</f>
        <v>I_Mask</v>
      </c>
      <c r="G40" s="272"/>
      <c r="H40" s="269">
        <v>191</v>
      </c>
      <c r="I40" s="86" t="s">
        <v>59</v>
      </c>
      <c r="J40" s="269" t="str">
        <f>+'Input Data'!I23</f>
        <v>Dry_Etch(C) </v>
      </c>
      <c r="K40" s="86"/>
      <c r="L40" s="269">
        <v>30</v>
      </c>
      <c r="M40" s="460">
        <v>1.5</v>
      </c>
      <c r="N40" s="262"/>
      <c r="O40" s="269">
        <v>4.683229167</v>
      </c>
      <c r="P40" s="85"/>
      <c r="Q40" s="75">
        <f t="shared" si="14"/>
        <v>0</v>
      </c>
      <c r="R40" s="22">
        <f t="shared" si="1"/>
        <v>36994.796879856025</v>
      </c>
      <c r="S40" s="22">
        <f t="shared" si="2"/>
        <v>0</v>
      </c>
      <c r="T40" s="71">
        <f>+'Input Data'!$J$23</f>
        <v>0.47</v>
      </c>
      <c r="U40" s="75">
        <f t="shared" si="3"/>
        <v>2.1543673934227825</v>
      </c>
      <c r="V40" s="75">
        <f t="shared" si="5"/>
        <v>0.03333333333333333</v>
      </c>
      <c r="AA40" s="99" t="s">
        <v>394</v>
      </c>
      <c r="AB40" s="399">
        <v>25</v>
      </c>
      <c r="AC40" s="399">
        <v>5</v>
      </c>
      <c r="AD40" s="399">
        <f t="shared" si="9"/>
        <v>0</v>
      </c>
      <c r="AE40" s="399">
        <f>AE39</f>
        <v>0.854</v>
      </c>
      <c r="AF40" s="156">
        <v>0.47546671515043876</v>
      </c>
      <c r="AG40" s="53">
        <v>5</v>
      </c>
      <c r="AH40" s="53">
        <v>8.390589090890096</v>
      </c>
      <c r="AI40" s="53">
        <f t="shared" si="4"/>
        <v>9</v>
      </c>
      <c r="AJ40" s="53">
        <v>0.025</v>
      </c>
      <c r="AK40" s="53">
        <v>1.0842021724855044E-19</v>
      </c>
      <c r="AL40" s="53">
        <f t="shared" si="10"/>
        <v>0.7318501170960188</v>
      </c>
      <c r="AM40" s="53">
        <f t="shared" si="6"/>
        <v>0.13989888000000017</v>
      </c>
      <c r="AN40" s="53">
        <f t="shared" si="11"/>
        <v>0.5230133866654827</v>
      </c>
      <c r="AO40" s="53">
        <f t="shared" si="7"/>
        <v>0.6467916036155463</v>
      </c>
      <c r="AP40" s="53">
        <v>3.204055556</v>
      </c>
      <c r="AQ40" s="314">
        <f t="shared" si="8"/>
        <v>1.7853587660987453</v>
      </c>
    </row>
    <row r="41" spans="1:43" ht="12.75">
      <c r="A41" s="5" t="str">
        <f>+'Input Data'!I13</f>
        <v>CVD_Ins</v>
      </c>
      <c r="B41" s="53"/>
      <c r="G41" s="272"/>
      <c r="H41" s="269">
        <v>206</v>
      </c>
      <c r="I41" s="86" t="s">
        <v>58</v>
      </c>
      <c r="J41" s="269" t="str">
        <f>+'Input Data'!I23</f>
        <v>Dry_Etch(C) </v>
      </c>
      <c r="K41" s="86"/>
      <c r="L41" s="269">
        <v>60</v>
      </c>
      <c r="M41" s="460">
        <v>1.5</v>
      </c>
      <c r="N41" s="262"/>
      <c r="O41" s="269">
        <v>4.683229167</v>
      </c>
      <c r="P41" s="85"/>
      <c r="Q41" s="75">
        <f t="shared" si="14"/>
        <v>0</v>
      </c>
      <c r="R41" s="22">
        <f t="shared" si="1"/>
        <v>36955.20350341298</v>
      </c>
      <c r="S41" s="22">
        <f t="shared" si="2"/>
        <v>0</v>
      </c>
      <c r="T41" s="71">
        <f>+'Input Data'!$J$23</f>
        <v>0.47</v>
      </c>
      <c r="U41" s="75">
        <f t="shared" si="3"/>
        <v>1.0760308497383235</v>
      </c>
      <c r="V41" s="75">
        <f t="shared" si="5"/>
        <v>0.016666666666666666</v>
      </c>
      <c r="AA41" s="99" t="s">
        <v>396</v>
      </c>
      <c r="AB41" s="399">
        <v>25</v>
      </c>
      <c r="AC41" s="399">
        <v>5</v>
      </c>
      <c r="AD41" s="399">
        <f t="shared" si="9"/>
        <v>0</v>
      </c>
      <c r="AE41" s="399">
        <f>AE40</f>
        <v>0.854</v>
      </c>
      <c r="AF41" s="156">
        <v>0.45934171831407083</v>
      </c>
      <c r="AG41" s="53">
        <v>2</v>
      </c>
      <c r="AH41" s="53">
        <v>2.417587991126689</v>
      </c>
      <c r="AI41" s="53">
        <f t="shared" si="4"/>
        <v>3</v>
      </c>
      <c r="AJ41" s="53">
        <v>0.02</v>
      </c>
      <c r="AK41" s="53">
        <v>0</v>
      </c>
      <c r="AL41" s="53">
        <f t="shared" si="10"/>
        <v>0.585480093676815</v>
      </c>
      <c r="AM41" s="53">
        <f t="shared" si="6"/>
        <v>0.14987360000000002</v>
      </c>
      <c r="AN41" s="53">
        <f t="shared" si="11"/>
        <v>0.5052758901454779</v>
      </c>
      <c r="AO41" s="53">
        <f t="shared" si="7"/>
        <v>0.6052530712970237</v>
      </c>
      <c r="AP41" s="53">
        <v>3.204055556</v>
      </c>
      <c r="AQ41" s="314">
        <f t="shared" si="8"/>
        <v>1.6706986771439851</v>
      </c>
    </row>
    <row r="42" spans="1:43" ht="12.75">
      <c r="A42" s="5" t="str">
        <f>+'Input Data'!I14</f>
        <v>CVD_Ins(C) </v>
      </c>
      <c r="B42" s="53"/>
      <c r="G42" s="272"/>
      <c r="H42" s="269">
        <v>224</v>
      </c>
      <c r="I42" s="86" t="s">
        <v>59</v>
      </c>
      <c r="J42" s="269" t="str">
        <f>+'Input Data'!I23</f>
        <v>Dry_Etch(C) </v>
      </c>
      <c r="K42" s="86"/>
      <c r="L42" s="269">
        <v>30</v>
      </c>
      <c r="M42" s="460">
        <v>1.5</v>
      </c>
      <c r="N42" s="262"/>
      <c r="O42" s="269">
        <v>4.683229167</v>
      </c>
      <c r="P42" s="85"/>
      <c r="Q42" s="75">
        <f t="shared" si="14"/>
        <v>0</v>
      </c>
      <c r="R42" s="22">
        <f t="shared" si="1"/>
        <v>36907.74738200954</v>
      </c>
      <c r="S42" s="22">
        <f t="shared" si="2"/>
        <v>0</v>
      </c>
      <c r="T42" s="71">
        <f>+'Input Data'!$J$23</f>
        <v>0.47</v>
      </c>
      <c r="U42" s="75">
        <f t="shared" si="3"/>
        <v>2.1492981238067514</v>
      </c>
      <c r="V42" s="75">
        <f t="shared" si="5"/>
        <v>0.03333333333333333</v>
      </c>
      <c r="AA42" s="99" t="s">
        <v>97</v>
      </c>
      <c r="AB42" s="399">
        <v>25</v>
      </c>
      <c r="AC42" s="399">
        <v>5</v>
      </c>
      <c r="AD42" s="399">
        <f t="shared" si="9"/>
        <v>0</v>
      </c>
      <c r="AE42" s="399">
        <v>0.95</v>
      </c>
      <c r="AF42" s="156">
        <v>0.37283889005714244</v>
      </c>
      <c r="AG42" s="53">
        <v>6</v>
      </c>
      <c r="AH42" s="53">
        <v>21.031937387838806</v>
      </c>
      <c r="AI42" s="53">
        <f t="shared" si="4"/>
        <v>22</v>
      </c>
      <c r="AJ42" s="53">
        <v>0.04</v>
      </c>
      <c r="AK42" s="53">
        <v>0</v>
      </c>
      <c r="AL42" s="53">
        <f t="shared" si="10"/>
        <v>1.0526315789473684</v>
      </c>
      <c r="AM42" s="53">
        <f t="shared" si="6"/>
        <v>0.10950000000000001</v>
      </c>
      <c r="AN42" s="53">
        <f t="shared" si="11"/>
        <v>0.4101227790628567</v>
      </c>
      <c r="AO42" s="53">
        <f t="shared" si="7"/>
        <v>1.0003630191040913</v>
      </c>
      <c r="AP42" s="53">
        <v>1.001944444</v>
      </c>
      <c r="AQ42" s="314">
        <f t="shared" si="8"/>
        <v>2.7613328241349597</v>
      </c>
    </row>
    <row r="43" spans="1:43" ht="12.75">
      <c r="A43" s="5" t="str">
        <f>+'Input Data'!I15</f>
        <v>CVD_Ins(I)</v>
      </c>
      <c r="B43" s="53"/>
      <c r="G43" s="272"/>
      <c r="H43" s="269">
        <v>255</v>
      </c>
      <c r="I43" s="86" t="s">
        <v>59</v>
      </c>
      <c r="J43" s="269" t="str">
        <f>+'Input Data'!I23</f>
        <v>Dry_Etch(C) </v>
      </c>
      <c r="K43" s="86"/>
      <c r="L43" s="269">
        <v>30</v>
      </c>
      <c r="M43" s="460">
        <v>1.5</v>
      </c>
      <c r="N43" s="262"/>
      <c r="O43" s="269">
        <v>4.683229167</v>
      </c>
      <c r="P43" s="85"/>
      <c r="Q43" s="75">
        <f t="shared" si="14"/>
        <v>0</v>
      </c>
      <c r="R43" s="22">
        <f t="shared" si="1"/>
        <v>36826.16020473289</v>
      </c>
      <c r="S43" s="22">
        <f t="shared" si="2"/>
        <v>0</v>
      </c>
      <c r="T43" s="71">
        <f>+'Input Data'!$J$23</f>
        <v>0.47</v>
      </c>
      <c r="U43" s="75">
        <f t="shared" si="3"/>
        <v>2.1445469487964646</v>
      </c>
      <c r="V43" s="75">
        <f t="shared" si="5"/>
        <v>0.03333333333333333</v>
      </c>
      <c r="AA43" s="99" t="s">
        <v>397</v>
      </c>
      <c r="AB43" s="399">
        <v>25</v>
      </c>
      <c r="AC43" s="399">
        <v>5</v>
      </c>
      <c r="AD43" s="399">
        <f t="shared" si="9"/>
        <v>0</v>
      </c>
      <c r="AE43" s="399">
        <v>0.9</v>
      </c>
      <c r="AF43" s="156">
        <v>0.3919373670148186</v>
      </c>
      <c r="AG43" s="53">
        <v>3</v>
      </c>
      <c r="AH43" s="53">
        <v>4.354859633497985</v>
      </c>
      <c r="AI43" s="53">
        <f t="shared" si="4"/>
        <v>5</v>
      </c>
      <c r="AJ43" s="53">
        <v>0.01888888888888889</v>
      </c>
      <c r="AK43" s="53">
        <v>0.00011203703703703712</v>
      </c>
      <c r="AL43" s="53">
        <f t="shared" si="10"/>
        <v>0.5246913580246914</v>
      </c>
      <c r="AM43" s="53">
        <f t="shared" si="6"/>
        <v>0.45213148788927354</v>
      </c>
      <c r="AN43" s="53">
        <f t="shared" si="11"/>
        <v>0.43113110371630053</v>
      </c>
      <c r="AO43" s="53">
        <f t="shared" si="7"/>
        <v>0.49607244115162846</v>
      </c>
      <c r="AP43" s="53">
        <v>1.283395062</v>
      </c>
      <c r="AQ43" s="314">
        <f t="shared" si="8"/>
        <v>1.369324024120303</v>
      </c>
    </row>
    <row r="44" spans="1:43" ht="12.75">
      <c r="A44" s="5" t="str">
        <f>+'Input Data'!I16</f>
        <v>CVD_Ins_Thin</v>
      </c>
      <c r="B44" s="53"/>
      <c r="G44" s="272"/>
      <c r="H44" s="269">
        <v>279</v>
      </c>
      <c r="I44" s="86" t="s">
        <v>60</v>
      </c>
      <c r="J44" s="269" t="str">
        <f>+'Input Data'!I23</f>
        <v>Dry_Etch(C) </v>
      </c>
      <c r="K44" s="86"/>
      <c r="L44" s="269">
        <v>40</v>
      </c>
      <c r="M44" s="460">
        <v>1.5</v>
      </c>
      <c r="N44" s="262"/>
      <c r="O44" s="269">
        <v>4.683229167</v>
      </c>
      <c r="P44" s="85"/>
      <c r="Q44" s="75">
        <f t="shared" si="14"/>
        <v>0</v>
      </c>
      <c r="R44" s="22">
        <f t="shared" si="1"/>
        <v>36763.119823569126</v>
      </c>
      <c r="S44" s="22">
        <f t="shared" si="2"/>
        <v>0</v>
      </c>
      <c r="T44" s="71">
        <f>+'Input Data'!$J$23</f>
        <v>0.47</v>
      </c>
      <c r="U44" s="75">
        <f t="shared" si="3"/>
        <v>1.605656875592642</v>
      </c>
      <c r="V44" s="75">
        <f t="shared" si="5"/>
        <v>0.025</v>
      </c>
      <c r="AA44" s="99" t="s">
        <v>399</v>
      </c>
      <c r="AB44" s="399">
        <v>25</v>
      </c>
      <c r="AC44" s="399">
        <v>5</v>
      </c>
      <c r="AD44" s="399">
        <f t="shared" si="9"/>
        <v>0</v>
      </c>
      <c r="AE44" s="399">
        <f>AE43</f>
        <v>0.9</v>
      </c>
      <c r="AF44" s="156">
        <v>0.5226678677936839</v>
      </c>
      <c r="AG44" s="53">
        <v>21</v>
      </c>
      <c r="AH44" s="53">
        <v>10.646938047649115</v>
      </c>
      <c r="AI44" s="53">
        <f t="shared" si="4"/>
        <v>11</v>
      </c>
      <c r="AJ44" s="53">
        <v>0.008000000000000004</v>
      </c>
      <c r="AK44" s="53">
        <v>0</v>
      </c>
      <c r="AL44" s="53">
        <f t="shared" si="10"/>
        <v>0.22222222222222232</v>
      </c>
      <c r="AM44" s="53">
        <f t="shared" si="6"/>
        <v>0.18999999999999995</v>
      </c>
      <c r="AN44" s="53">
        <f t="shared" si="11"/>
        <v>0.5749346545730524</v>
      </c>
      <c r="AO44" s="53">
        <f t="shared" si="7"/>
        <v>0.20579893888817127</v>
      </c>
      <c r="AP44" s="53">
        <v>1.393263889</v>
      </c>
      <c r="AQ44" s="314">
        <f t="shared" si="8"/>
        <v>0.5680731437203603</v>
      </c>
    </row>
    <row r="45" spans="1:43" ht="12.75">
      <c r="A45" s="5" t="str">
        <f>+'Input Data'!I17</f>
        <v>CVD_Met</v>
      </c>
      <c r="B45" s="53"/>
      <c r="G45" s="272"/>
      <c r="H45" s="269">
        <v>55</v>
      </c>
      <c r="I45" s="86" t="s">
        <v>61</v>
      </c>
      <c r="J45" s="269" t="str">
        <f>+'Input Data'!I24</f>
        <v>Dry_Etch(I)</v>
      </c>
      <c r="K45" s="86"/>
      <c r="L45" s="269">
        <v>25</v>
      </c>
      <c r="M45" s="460">
        <v>1.5</v>
      </c>
      <c r="N45" s="262"/>
      <c r="O45" s="269">
        <v>4.683229167</v>
      </c>
      <c r="P45" s="85"/>
      <c r="Q45" s="75">
        <f t="shared" si="14"/>
        <v>0</v>
      </c>
      <c r="R45" s="22">
        <f t="shared" si="1"/>
        <v>37355.71826872766</v>
      </c>
      <c r="S45" s="22">
        <f t="shared" si="2"/>
        <v>0</v>
      </c>
      <c r="T45" s="71">
        <f>+'Input Data'!$J$24</f>
        <v>0.47</v>
      </c>
      <c r="U45" s="75">
        <f t="shared" si="3"/>
        <v>2.610462492573561</v>
      </c>
      <c r="V45" s="75">
        <f t="shared" si="5"/>
        <v>0.04</v>
      </c>
      <c r="AA45" s="99" t="s">
        <v>398</v>
      </c>
      <c r="AB45" s="399">
        <v>25</v>
      </c>
      <c r="AC45" s="399">
        <v>5</v>
      </c>
      <c r="AD45" s="399">
        <f>AD44</f>
        <v>0</v>
      </c>
      <c r="AE45" s="399">
        <f>AE44</f>
        <v>0.9</v>
      </c>
      <c r="AF45" s="156">
        <v>0.497996627829919</v>
      </c>
      <c r="AG45" s="53">
        <v>18</v>
      </c>
      <c r="AH45" s="53">
        <v>9.222159774628128</v>
      </c>
      <c r="AI45" s="53">
        <f t="shared" si="4"/>
        <v>10</v>
      </c>
      <c r="AJ45" s="53">
        <v>0.008000000000000004</v>
      </c>
      <c r="AK45" s="53">
        <v>0</v>
      </c>
      <c r="AL45" s="53">
        <f t="shared" si="10"/>
        <v>0.22222222222222232</v>
      </c>
      <c r="AM45" s="53">
        <f t="shared" si="6"/>
        <v>0.18999999999999995</v>
      </c>
      <c r="AN45" s="53">
        <f t="shared" si="11"/>
        <v>0.5477962906129109</v>
      </c>
      <c r="AO45" s="53">
        <f t="shared" si="7"/>
        <v>0.20540770459912405</v>
      </c>
      <c r="AP45" s="53">
        <v>1.393263889</v>
      </c>
      <c r="AQ45" s="314">
        <f>CT_FACTOR*AO45</f>
        <v>0.5669932076735033</v>
      </c>
    </row>
    <row r="46" spans="1:43" ht="12.75">
      <c r="A46" s="5" t="str">
        <f>+'Input Data'!I18</f>
        <v>CVD_Met(C) </v>
      </c>
      <c r="B46" s="53"/>
      <c r="G46" s="272"/>
      <c r="H46" s="269">
        <v>82</v>
      </c>
      <c r="I46" s="86" t="s">
        <v>62</v>
      </c>
      <c r="J46" s="269" t="str">
        <f>+'Input Data'!I24</f>
        <v>Dry_Etch(I)</v>
      </c>
      <c r="K46" s="86"/>
      <c r="L46" s="269">
        <v>30</v>
      </c>
      <c r="M46" s="460">
        <v>1.5</v>
      </c>
      <c r="N46" s="262"/>
      <c r="O46" s="269">
        <v>4.683229167</v>
      </c>
      <c r="P46" s="85"/>
      <c r="Q46" s="75">
        <f t="shared" si="14"/>
        <v>0</v>
      </c>
      <c r="R46" s="22">
        <f t="shared" si="1"/>
        <v>37283.78570895511</v>
      </c>
      <c r="S46" s="22">
        <f t="shared" si="2"/>
        <v>0</v>
      </c>
      <c r="T46" s="71">
        <f>+'Input Data'!$J$24</f>
        <v>0.47</v>
      </c>
      <c r="U46" s="75">
        <f t="shared" si="3"/>
        <v>2.1711964656973626</v>
      </c>
      <c r="V46" s="75">
        <f t="shared" si="5"/>
        <v>0.03333333333333333</v>
      </c>
      <c r="AA46" s="99"/>
      <c r="AB46" s="399"/>
      <c r="AC46" s="399"/>
      <c r="AD46" s="399"/>
      <c r="AE46" s="399"/>
      <c r="AF46" s="53"/>
      <c r="AG46" s="53"/>
      <c r="AH46" s="53"/>
      <c r="AI46" s="53"/>
      <c r="AJ46" s="53"/>
      <c r="AK46" s="53"/>
      <c r="AL46" s="53"/>
      <c r="AM46" s="53"/>
      <c r="AN46" s="53"/>
      <c r="AO46" s="53"/>
      <c r="AP46" s="53"/>
      <c r="AQ46" s="314"/>
    </row>
    <row r="47" spans="1:22" ht="12.75">
      <c r="A47" s="5" t="str">
        <f>+'Input Data'!I19</f>
        <v>CVD_MetW</v>
      </c>
      <c r="B47" s="53"/>
      <c r="G47" s="272"/>
      <c r="H47" s="269">
        <v>103</v>
      </c>
      <c r="I47" s="86" t="s">
        <v>63</v>
      </c>
      <c r="J47" s="269" t="str">
        <f>+'Input Data'!I24</f>
        <v>Dry_Etch(I)</v>
      </c>
      <c r="K47" s="86"/>
      <c r="L47" s="269">
        <v>30</v>
      </c>
      <c r="M47" s="460">
        <v>1.5</v>
      </c>
      <c r="N47" s="262"/>
      <c r="O47" s="269">
        <v>1.557967836</v>
      </c>
      <c r="P47" s="85"/>
      <c r="Q47" s="75">
        <f t="shared" si="14"/>
        <v>0</v>
      </c>
      <c r="R47" s="22">
        <f t="shared" si="1"/>
        <v>37227.93393895736</v>
      </c>
      <c r="S47" s="22">
        <f t="shared" si="2"/>
        <v>0</v>
      </c>
      <c r="T47" s="71">
        <f>+'Input Data'!$J$24</f>
        <v>0.47</v>
      </c>
      <c r="U47" s="75">
        <f t="shared" si="3"/>
        <v>2.1679439750149867</v>
      </c>
      <c r="V47" s="75">
        <f t="shared" si="5"/>
        <v>0.03333333333333333</v>
      </c>
    </row>
    <row r="48" spans="1:22" ht="12.75">
      <c r="A48" s="5" t="str">
        <f>+'Input Data'!I20</f>
        <v>CVD_MetW(C) </v>
      </c>
      <c r="B48" s="53"/>
      <c r="G48" s="272"/>
      <c r="H48" s="269">
        <v>141</v>
      </c>
      <c r="I48" s="86" t="s">
        <v>64</v>
      </c>
      <c r="J48" s="269" t="str">
        <f>+'Input Data'!I25</f>
        <v>Dry_Etch_Met</v>
      </c>
      <c r="K48" s="86"/>
      <c r="L48" s="269">
        <v>30</v>
      </c>
      <c r="M48" s="460">
        <v>1.5</v>
      </c>
      <c r="N48" s="262"/>
      <c r="O48" s="269">
        <v>4.189074074</v>
      </c>
      <c r="P48" s="85"/>
      <c r="Q48" s="75">
        <f t="shared" si="14"/>
        <v>0</v>
      </c>
      <c r="R48" s="22">
        <f t="shared" si="1"/>
        <v>37127.0814225506</v>
      </c>
      <c r="S48" s="22">
        <f t="shared" si="2"/>
        <v>0</v>
      </c>
      <c r="T48" s="71">
        <f>+'Input Data'!$J$25</f>
        <v>0.41000000000000003</v>
      </c>
      <c r="U48" s="75">
        <f t="shared" si="3"/>
        <v>1.9421992792713225</v>
      </c>
      <c r="V48" s="75">
        <f t="shared" si="5"/>
        <v>0.03333333333333333</v>
      </c>
    </row>
    <row r="49" spans="1:43" ht="12.75">
      <c r="A49" s="5" t="str">
        <f>+'Input Data'!I21</f>
        <v>Dry_Etch</v>
      </c>
      <c r="B49" s="53"/>
      <c r="G49" s="272"/>
      <c r="H49" s="269">
        <v>174</v>
      </c>
      <c r="I49" s="86" t="s">
        <v>64</v>
      </c>
      <c r="J49" s="269" t="str">
        <f>+'Input Data'!I25</f>
        <v>Dry_Etch_Met</v>
      </c>
      <c r="K49" s="86"/>
      <c r="L49" s="269">
        <v>30</v>
      </c>
      <c r="M49" s="460">
        <v>1.5</v>
      </c>
      <c r="N49" s="262"/>
      <c r="O49" s="269">
        <v>4.189074074</v>
      </c>
      <c r="P49" s="85"/>
      <c r="Q49" s="75">
        <f t="shared" si="14"/>
        <v>0</v>
      </c>
      <c r="R49" s="22">
        <f t="shared" si="1"/>
        <v>37039.72065652626</v>
      </c>
      <c r="S49" s="22">
        <f t="shared" si="2"/>
        <v>0</v>
      </c>
      <c r="T49" s="71">
        <f>+'Input Data'!$J$25</f>
        <v>0.41000000000000003</v>
      </c>
      <c r="U49" s="75">
        <f t="shared" si="3"/>
        <v>1.9376292454763688</v>
      </c>
      <c r="V49" s="75">
        <f t="shared" si="5"/>
        <v>0.03333333333333333</v>
      </c>
      <c r="AO49" s="465" t="s">
        <v>609</v>
      </c>
      <c r="AP49" s="465" t="s">
        <v>609</v>
      </c>
      <c r="AQ49" t="s">
        <v>624</v>
      </c>
    </row>
    <row r="50" spans="1:43" ht="12.75">
      <c r="A50" s="5" t="str">
        <f>+'Input Data'!I22</f>
        <v>Dry_Etch(A)</v>
      </c>
      <c r="B50" s="53"/>
      <c r="G50" s="272"/>
      <c r="H50" s="269">
        <v>207</v>
      </c>
      <c r="I50" s="86" t="s">
        <v>64</v>
      </c>
      <c r="J50" s="269" t="str">
        <f>+'Input Data'!I25</f>
        <v>Dry_Etch_Met</v>
      </c>
      <c r="K50" s="86"/>
      <c r="L50" s="269">
        <v>30</v>
      </c>
      <c r="M50" s="460">
        <v>1.5</v>
      </c>
      <c r="N50" s="262"/>
      <c r="O50" s="269">
        <v>4.189074074</v>
      </c>
      <c r="P50" s="85"/>
      <c r="Q50" s="75">
        <f t="shared" si="14"/>
        <v>0</v>
      </c>
      <c r="R50" s="22">
        <f t="shared" si="1"/>
        <v>36952.56545213372</v>
      </c>
      <c r="S50" s="22">
        <f t="shared" si="2"/>
        <v>0</v>
      </c>
      <c r="T50" s="71">
        <f>+'Input Data'!$J$25</f>
        <v>0.41000000000000003</v>
      </c>
      <c r="U50" s="75">
        <f t="shared" si="3"/>
        <v>1.9330699650624463</v>
      </c>
      <c r="V50" s="75">
        <f t="shared" si="5"/>
        <v>0.03333333333333333</v>
      </c>
      <c r="AO50" s="465">
        <f>SUMPRODUCT(AG3:AG45,AO3:AO45)</f>
        <v>233.41891617077337</v>
      </c>
      <c r="AP50" s="465">
        <f>SUMPRODUCT(AG3:AG45,AP3:AP45)</f>
        <v>644.3134169169998</v>
      </c>
      <c r="AQ50">
        <f>CT_ACTUAL/CT_CALC</f>
        <v>2.7603307713313554</v>
      </c>
    </row>
    <row r="51" spans="1:22" ht="12.75">
      <c r="A51" s="5" t="str">
        <f>+'Input Data'!I23</f>
        <v>Dry_Etch(C) </v>
      </c>
      <c r="B51" s="53"/>
      <c r="G51" s="272"/>
      <c r="H51" s="269">
        <v>238</v>
      </c>
      <c r="I51" s="86" t="s">
        <v>64</v>
      </c>
      <c r="J51" s="269" t="str">
        <f>+'Input Data'!I25</f>
        <v>Dry_Etch_Met</v>
      </c>
      <c r="K51" s="86"/>
      <c r="L51" s="269">
        <v>30</v>
      </c>
      <c r="M51" s="460">
        <v>1.5</v>
      </c>
      <c r="N51" s="262"/>
      <c r="O51" s="269">
        <v>4.189074074</v>
      </c>
      <c r="P51" s="85"/>
      <c r="Q51" s="75">
        <f t="shared" si="14"/>
        <v>0</v>
      </c>
      <c r="R51" s="22">
        <f t="shared" si="1"/>
        <v>36870.87920135375</v>
      </c>
      <c r="S51" s="22">
        <f t="shared" si="2"/>
        <v>0</v>
      </c>
      <c r="T51" s="71">
        <f>+'Input Data'!$J$25</f>
        <v>0.41000000000000003</v>
      </c>
      <c r="U51" s="75">
        <f t="shared" si="3"/>
        <v>1.928796777639347</v>
      </c>
      <c r="V51" s="75">
        <f t="shared" si="5"/>
        <v>0.03333333333333333</v>
      </c>
    </row>
    <row r="52" spans="1:22" ht="12.75">
      <c r="A52" s="5" t="str">
        <f>+'Input Data'!I24</f>
        <v>Dry_Etch(I)</v>
      </c>
      <c r="B52" s="53"/>
      <c r="G52" s="272"/>
      <c r="H52" s="269">
        <v>269</v>
      </c>
      <c r="I52" s="86" t="s">
        <v>64</v>
      </c>
      <c r="J52" s="269" t="str">
        <f>+'Input Data'!I25</f>
        <v>Dry_Etch_Met</v>
      </c>
      <c r="K52" s="86"/>
      <c r="L52" s="269">
        <v>30</v>
      </c>
      <c r="M52" s="460">
        <v>1.5</v>
      </c>
      <c r="N52" s="262"/>
      <c r="O52" s="269">
        <v>4.189074074</v>
      </c>
      <c r="P52" s="85"/>
      <c r="Q52" s="75">
        <f t="shared" si="14"/>
        <v>0</v>
      </c>
      <c r="R52" s="22">
        <f t="shared" si="1"/>
        <v>36789.37352378935</v>
      </c>
      <c r="S52" s="22">
        <f t="shared" si="2"/>
        <v>0</v>
      </c>
      <c r="T52" s="71">
        <f>+'Input Data'!$J$25</f>
        <v>0.41000000000000003</v>
      </c>
      <c r="U52" s="75">
        <f t="shared" si="3"/>
        <v>1.924533036398271</v>
      </c>
      <c r="V52" s="75">
        <f t="shared" si="5"/>
        <v>0.03333333333333333</v>
      </c>
    </row>
    <row r="53" spans="1:22" ht="12.75">
      <c r="A53" s="5" t="str">
        <f>+'Input Data'!I25</f>
        <v>Dry_Etch_Met</v>
      </c>
      <c r="B53" s="53"/>
      <c r="G53" s="272"/>
      <c r="H53" s="269">
        <v>23</v>
      </c>
      <c r="I53" s="86" t="s">
        <v>63</v>
      </c>
      <c r="J53" s="269" t="str">
        <f>+'Input Data'!I26</f>
        <v>Dry_Strip</v>
      </c>
      <c r="K53" s="86"/>
      <c r="L53" s="269">
        <v>30</v>
      </c>
      <c r="M53" s="460">
        <v>0</v>
      </c>
      <c r="N53" s="262"/>
      <c r="O53" s="269">
        <v>1.557967836</v>
      </c>
      <c r="P53" s="85"/>
      <c r="Q53" s="75">
        <f t="shared" si="14"/>
        <v>0</v>
      </c>
      <c r="R53" s="22">
        <f t="shared" si="1"/>
        <v>0</v>
      </c>
      <c r="S53" s="22">
        <f t="shared" si="2"/>
        <v>0</v>
      </c>
      <c r="T53" s="71">
        <f>+'Input Data'!$J$26</f>
        <v>0.35</v>
      </c>
      <c r="U53" s="75">
        <f t="shared" si="3"/>
        <v>1.7778324504103131</v>
      </c>
      <c r="V53" s="75">
        <f t="shared" si="5"/>
        <v>0.03333333333333333</v>
      </c>
    </row>
    <row r="54" spans="1:22" ht="12.75">
      <c r="A54" s="5" t="str">
        <f>+'Input Data'!I26</f>
        <v>Dry_Strip</v>
      </c>
      <c r="B54" s="53"/>
      <c r="G54" s="272"/>
      <c r="H54" s="269">
        <v>105</v>
      </c>
      <c r="I54" s="86" t="s">
        <v>65</v>
      </c>
      <c r="J54" s="269" t="str">
        <f>+'Input Data'!I27</f>
        <v>Dry_Strip(D)</v>
      </c>
      <c r="K54" s="86"/>
      <c r="L54" s="269">
        <v>80</v>
      </c>
      <c r="M54" s="460">
        <v>0</v>
      </c>
      <c r="N54" s="262"/>
      <c r="O54" s="269">
        <v>1.557967836</v>
      </c>
      <c r="P54" s="85"/>
      <c r="Q54" s="75">
        <f t="shared" si="14"/>
        <v>0</v>
      </c>
      <c r="R54" s="22">
        <f t="shared" si="1"/>
        <v>0</v>
      </c>
      <c r="S54" s="22">
        <f t="shared" si="2"/>
        <v>0</v>
      </c>
      <c r="T54" s="71">
        <f>+'Input Data'!$J$27</f>
        <v>0.35</v>
      </c>
      <c r="U54" s="75">
        <f t="shared" si="3"/>
        <v>0.6627959239373528</v>
      </c>
      <c r="V54" s="75">
        <f t="shared" si="5"/>
        <v>0.0125</v>
      </c>
    </row>
    <row r="55" spans="1:22" ht="12.75">
      <c r="A55" s="5" t="str">
        <f>+'Input Data'!I27</f>
        <v>Dry_Strip(D)</v>
      </c>
      <c r="B55" s="53"/>
      <c r="G55" s="272"/>
      <c r="H55" s="269">
        <v>127</v>
      </c>
      <c r="I55" s="86" t="s">
        <v>65</v>
      </c>
      <c r="J55" s="269" t="str">
        <f>+'Input Data'!I27</f>
        <v>Dry_Strip(D)</v>
      </c>
      <c r="K55" s="86"/>
      <c r="L55" s="269">
        <v>80</v>
      </c>
      <c r="M55" s="460">
        <v>0</v>
      </c>
      <c r="N55" s="262"/>
      <c r="O55" s="269">
        <v>1.557967836</v>
      </c>
      <c r="P55" s="85"/>
      <c r="Q55" s="75">
        <f t="shared" si="14"/>
        <v>0</v>
      </c>
      <c r="R55" s="22">
        <f t="shared" si="1"/>
        <v>0</v>
      </c>
      <c r="S55" s="22">
        <f t="shared" si="2"/>
        <v>0</v>
      </c>
      <c r="T55" s="71">
        <f>+'Input Data'!$J$27</f>
        <v>0.35</v>
      </c>
      <c r="U55" s="75">
        <f t="shared" si="3"/>
        <v>0.6617558010448071</v>
      </c>
      <c r="V55" s="75">
        <f t="shared" si="5"/>
        <v>0.0125</v>
      </c>
    </row>
    <row r="56" spans="1:22" ht="12.75">
      <c r="A56" s="5" t="str">
        <f>+'Input Data'!I28</f>
        <v>Dry_Strip(I)</v>
      </c>
      <c r="B56" s="53"/>
      <c r="G56" s="272"/>
      <c r="H56" s="269">
        <v>280</v>
      </c>
      <c r="I56" s="86" t="s">
        <v>65</v>
      </c>
      <c r="J56" s="269" t="str">
        <f>+'Input Data'!I27</f>
        <v>Dry_Strip(D)</v>
      </c>
      <c r="K56" s="86"/>
      <c r="L56" s="269">
        <v>80</v>
      </c>
      <c r="M56" s="460">
        <v>0</v>
      </c>
      <c r="N56" s="262"/>
      <c r="O56" s="269">
        <v>1.557967836</v>
      </c>
      <c r="P56" s="85"/>
      <c r="Q56" s="75">
        <f t="shared" si="14"/>
        <v>0</v>
      </c>
      <c r="R56" s="22">
        <f t="shared" si="1"/>
        <v>0</v>
      </c>
      <c r="S56" s="22">
        <f t="shared" si="2"/>
        <v>0</v>
      </c>
      <c r="T56" s="71">
        <f>+'Input Data'!$J$27</f>
        <v>0.35</v>
      </c>
      <c r="U56" s="75">
        <f t="shared" si="3"/>
        <v>0.6545672272828443</v>
      </c>
      <c r="V56" s="75">
        <f t="shared" si="5"/>
        <v>0.0125</v>
      </c>
    </row>
    <row r="57" spans="1:22" ht="12.75">
      <c r="A57" s="5" t="str">
        <f>+'Input Data'!I29</f>
        <v>Furn_FastRmp</v>
      </c>
      <c r="B57" s="53"/>
      <c r="G57" s="272"/>
      <c r="H57" s="269">
        <v>10</v>
      </c>
      <c r="I57" s="86" t="s">
        <v>65</v>
      </c>
      <c r="J57" s="269" t="str">
        <f>+'Input Data'!I28</f>
        <v>Dry_Strip(I)</v>
      </c>
      <c r="K57" s="86"/>
      <c r="L57" s="269">
        <v>80</v>
      </c>
      <c r="M57" s="460">
        <v>0</v>
      </c>
      <c r="N57" s="262"/>
      <c r="O57" s="269">
        <v>1.557967836</v>
      </c>
      <c r="P57" s="85"/>
      <c r="Q57" s="75">
        <f t="shared" si="14"/>
        <v>0</v>
      </c>
      <c r="R57" s="22">
        <f t="shared" si="1"/>
        <v>0</v>
      </c>
      <c r="S57" s="22">
        <f t="shared" si="2"/>
        <v>0</v>
      </c>
      <c r="T57" s="71">
        <f>+'Input Data'!$J$28</f>
        <v>0.35</v>
      </c>
      <c r="U57" s="75">
        <f t="shared" si="3"/>
        <v>0.6673061681533935</v>
      </c>
      <c r="V57" s="75">
        <f t="shared" si="5"/>
        <v>0.0125</v>
      </c>
    </row>
    <row r="58" spans="1:22" ht="12.75">
      <c r="A58" s="5" t="str">
        <f>+'Input Data'!I30</f>
        <v>Furn_Nitr</v>
      </c>
      <c r="B58" s="53"/>
      <c r="G58" s="272"/>
      <c r="H58" s="269">
        <v>34</v>
      </c>
      <c r="I58" s="86" t="s">
        <v>65</v>
      </c>
      <c r="J58" s="269" t="str">
        <f>+'Input Data'!I28</f>
        <v>Dry_Strip(I)</v>
      </c>
      <c r="K58" s="86"/>
      <c r="L58" s="269">
        <v>80</v>
      </c>
      <c r="M58" s="460">
        <v>0</v>
      </c>
      <c r="N58" s="262"/>
      <c r="O58" s="269">
        <v>1.557967836</v>
      </c>
      <c r="P58" s="85"/>
      <c r="Q58" s="75">
        <f t="shared" si="14"/>
        <v>0</v>
      </c>
      <c r="R58" s="22">
        <f t="shared" si="1"/>
        <v>0</v>
      </c>
      <c r="S58" s="22">
        <f t="shared" si="2"/>
        <v>0</v>
      </c>
      <c r="T58" s="71">
        <f>+'Input Data'!$J$28</f>
        <v>0.35</v>
      </c>
      <c r="U58" s="75">
        <f t="shared" si="3"/>
        <v>0.6661638488086817</v>
      </c>
      <c r="V58" s="75">
        <f t="shared" si="5"/>
        <v>0.0125</v>
      </c>
    </row>
    <row r="59" spans="1:22" ht="12.75">
      <c r="A59" s="5" t="str">
        <f>+'Input Data'!I31</f>
        <v>Furn_OxAn</v>
      </c>
      <c r="B59" s="53"/>
      <c r="G59" s="272"/>
      <c r="H59" s="269">
        <v>43</v>
      </c>
      <c r="I59" s="86" t="s">
        <v>65</v>
      </c>
      <c r="J59" s="269" t="str">
        <f>+'Input Data'!I28</f>
        <v>Dry_Strip(I)</v>
      </c>
      <c r="K59" s="86"/>
      <c r="L59" s="269">
        <v>80</v>
      </c>
      <c r="M59" s="460">
        <v>0</v>
      </c>
      <c r="N59" s="262"/>
      <c r="O59" s="269">
        <v>1.557967836</v>
      </c>
      <c r="P59" s="85"/>
      <c r="Q59" s="75">
        <f t="shared" si="14"/>
        <v>0</v>
      </c>
      <c r="R59" s="22">
        <f t="shared" si="1"/>
        <v>0</v>
      </c>
      <c r="S59" s="22">
        <f t="shared" si="2"/>
        <v>0</v>
      </c>
      <c r="T59" s="71">
        <f>+'Input Data'!$J$28</f>
        <v>0.35</v>
      </c>
      <c r="U59" s="75">
        <f t="shared" si="3"/>
        <v>0.665735983377511</v>
      </c>
      <c r="V59" s="75">
        <f t="shared" si="5"/>
        <v>0.0125</v>
      </c>
    </row>
    <row r="60" spans="1:22" ht="12.75">
      <c r="A60" s="5" t="str">
        <f>+'Input Data'!I32</f>
        <v>Furn_OxAn(I)</v>
      </c>
      <c r="B60" s="53"/>
      <c r="G60" s="272"/>
      <c r="H60" s="269">
        <v>58</v>
      </c>
      <c r="I60" s="86" t="s">
        <v>65</v>
      </c>
      <c r="J60" s="269" t="str">
        <f>+'Input Data'!I28</f>
        <v>Dry_Strip(I)</v>
      </c>
      <c r="K60" s="86"/>
      <c r="L60" s="269">
        <v>80</v>
      </c>
      <c r="M60" s="460">
        <v>0</v>
      </c>
      <c r="N60" s="262"/>
      <c r="O60" s="269">
        <v>1.557967836</v>
      </c>
      <c r="P60" s="85"/>
      <c r="Q60" s="75">
        <f t="shared" si="14"/>
        <v>0</v>
      </c>
      <c r="R60" s="22">
        <f t="shared" si="1"/>
        <v>0</v>
      </c>
      <c r="S60" s="22">
        <f t="shared" si="2"/>
        <v>0</v>
      </c>
      <c r="T60" s="71">
        <f>+'Input Data'!$J$28</f>
        <v>0.35</v>
      </c>
      <c r="U60" s="75">
        <f t="shared" si="3"/>
        <v>0.6650234849284145</v>
      </c>
      <c r="V60" s="75">
        <f t="shared" si="5"/>
        <v>0.0125</v>
      </c>
    </row>
    <row r="61" spans="1:22" ht="12.75">
      <c r="A61" s="5" t="str">
        <f>+'Input Data'!I33</f>
        <v>Furn_Poly</v>
      </c>
      <c r="B61" s="53"/>
      <c r="G61" s="272"/>
      <c r="H61" s="269">
        <v>70</v>
      </c>
      <c r="I61" s="86" t="s">
        <v>65</v>
      </c>
      <c r="J61" s="269" t="str">
        <f>+'Input Data'!I28</f>
        <v>Dry_Strip(I)</v>
      </c>
      <c r="K61" s="86"/>
      <c r="L61" s="269">
        <v>80</v>
      </c>
      <c r="M61" s="460">
        <v>0</v>
      </c>
      <c r="N61" s="262"/>
      <c r="O61" s="269">
        <v>1.557967836</v>
      </c>
      <c r="P61" s="85"/>
      <c r="Q61" s="75">
        <f t="shared" si="14"/>
        <v>0</v>
      </c>
      <c r="R61" s="22">
        <f t="shared" si="1"/>
        <v>0</v>
      </c>
      <c r="S61" s="22">
        <f t="shared" si="2"/>
        <v>0</v>
      </c>
      <c r="T61" s="71">
        <f>+'Input Data'!$J$28</f>
        <v>0.35</v>
      </c>
      <c r="U61" s="75">
        <f t="shared" si="3"/>
        <v>0.6644540352411495</v>
      </c>
      <c r="V61" s="75">
        <f t="shared" si="5"/>
        <v>0.0125</v>
      </c>
    </row>
    <row r="62" spans="1:22" ht="12.75">
      <c r="A62" s="5" t="str">
        <f>+'Input Data'!I34</f>
        <v>Furn_TEOS</v>
      </c>
      <c r="B62" s="53"/>
      <c r="G62" s="272"/>
      <c r="H62" s="269">
        <v>77</v>
      </c>
      <c r="I62" s="86" t="s">
        <v>65</v>
      </c>
      <c r="J62" s="269" t="str">
        <f>+'Input Data'!I28</f>
        <v>Dry_Strip(I)</v>
      </c>
      <c r="K62" s="86"/>
      <c r="L62" s="269">
        <v>80</v>
      </c>
      <c r="M62" s="460">
        <v>0</v>
      </c>
      <c r="N62" s="262"/>
      <c r="O62" s="269">
        <v>1.557967836</v>
      </c>
      <c r="P62" s="85"/>
      <c r="Q62" s="75">
        <f t="shared" si="14"/>
        <v>0</v>
      </c>
      <c r="R62" s="22">
        <f t="shared" si="1"/>
        <v>0</v>
      </c>
      <c r="S62" s="22">
        <f t="shared" si="2"/>
        <v>0</v>
      </c>
      <c r="T62" s="71">
        <f>+'Input Data'!$J$28</f>
        <v>0.35</v>
      </c>
      <c r="U62" s="75">
        <f t="shared" si="3"/>
        <v>0.664122081465294</v>
      </c>
      <c r="V62" s="75">
        <f t="shared" si="5"/>
        <v>0.0125</v>
      </c>
    </row>
    <row r="63" spans="1:22" ht="12.75">
      <c r="A63" s="5" t="str">
        <f>+'Input Data'!I35</f>
        <v>Implant_HiE</v>
      </c>
      <c r="B63" s="53"/>
      <c r="G63" s="272"/>
      <c r="H63" s="269">
        <v>92</v>
      </c>
      <c r="I63" s="86" t="s">
        <v>65</v>
      </c>
      <c r="J63" s="269" t="str">
        <f>+'Input Data'!I28</f>
        <v>Dry_Strip(I)</v>
      </c>
      <c r="K63" s="86"/>
      <c r="L63" s="269">
        <v>80</v>
      </c>
      <c r="M63" s="460">
        <v>0</v>
      </c>
      <c r="N63" s="262"/>
      <c r="O63" s="269">
        <v>1.557967836</v>
      </c>
      <c r="P63" s="85"/>
      <c r="Q63" s="75">
        <f t="shared" si="14"/>
        <v>0</v>
      </c>
      <c r="R63" s="22">
        <f t="shared" si="1"/>
        <v>0</v>
      </c>
      <c r="S63" s="22">
        <f t="shared" si="2"/>
        <v>0</v>
      </c>
      <c r="T63" s="71">
        <f>+'Input Data'!$J$28</f>
        <v>0.35</v>
      </c>
      <c r="U63" s="75">
        <f t="shared" si="3"/>
        <v>0.6634113102814168</v>
      </c>
      <c r="V63" s="75">
        <f t="shared" si="5"/>
        <v>0.0125</v>
      </c>
    </row>
    <row r="64" spans="1:22" ht="12.75">
      <c r="A64" s="5" t="str">
        <f>+'Input Data'!I36</f>
        <v>Implant_LoE</v>
      </c>
      <c r="B64" s="53"/>
      <c r="G64" s="272"/>
      <c r="H64" s="269">
        <v>99</v>
      </c>
      <c r="I64" s="86" t="s">
        <v>65</v>
      </c>
      <c r="J64" s="269" t="str">
        <f>+'Input Data'!I28</f>
        <v>Dry_Strip(I)</v>
      </c>
      <c r="K64" s="86"/>
      <c r="L64" s="269">
        <v>80</v>
      </c>
      <c r="M64" s="460">
        <v>0</v>
      </c>
      <c r="N64" s="262"/>
      <c r="O64" s="269">
        <v>1.557967836</v>
      </c>
      <c r="P64" s="85"/>
      <c r="Q64" s="75">
        <f t="shared" si="14"/>
        <v>0</v>
      </c>
      <c r="R64" s="22">
        <f t="shared" si="1"/>
        <v>0</v>
      </c>
      <c r="S64" s="22">
        <f t="shared" si="2"/>
        <v>0</v>
      </c>
      <c r="T64" s="71">
        <f>+'Input Data'!$J$28</f>
        <v>0.35</v>
      </c>
      <c r="U64" s="75">
        <f t="shared" si="3"/>
        <v>0.6630798774392439</v>
      </c>
      <c r="V64" s="75">
        <f t="shared" si="5"/>
        <v>0.0125</v>
      </c>
    </row>
    <row r="65" spans="1:22" ht="12.75">
      <c r="A65" s="5" t="str">
        <f>+'Input Data'!I37</f>
        <v>Insp_PLY</v>
      </c>
      <c r="B65" s="53"/>
      <c r="G65" s="272"/>
      <c r="H65" s="269">
        <v>2</v>
      </c>
      <c r="I65" s="86" t="s">
        <v>66</v>
      </c>
      <c r="J65" s="269" t="str">
        <f>+'Input Data'!I29</f>
        <v>Furn_FastRmp</v>
      </c>
      <c r="K65" s="86"/>
      <c r="L65" s="269">
        <v>50</v>
      </c>
      <c r="M65" s="460">
        <v>0.6</v>
      </c>
      <c r="N65" s="262"/>
      <c r="O65" s="269">
        <v>10.41560185</v>
      </c>
      <c r="P65" s="85"/>
      <c r="Q65" s="75">
        <f t="shared" si="14"/>
        <v>0</v>
      </c>
      <c r="R65" s="22">
        <f t="shared" si="1"/>
        <v>14998.929223345087</v>
      </c>
      <c r="S65" s="22">
        <f t="shared" si="2"/>
        <v>0</v>
      </c>
      <c r="T65" s="71">
        <f>+'Input Data'!$J$29</f>
        <v>0.5</v>
      </c>
      <c r="U65" s="75">
        <f t="shared" si="3"/>
        <v>1.388789742902323</v>
      </c>
      <c r="V65" s="75">
        <f t="shared" si="5"/>
        <v>0.02</v>
      </c>
    </row>
    <row r="66" spans="1:22" ht="12.75">
      <c r="A66" s="5" t="str">
        <f>+'Input Data'!I38</f>
        <v>Insp_Visual</v>
      </c>
      <c r="B66" s="53"/>
      <c r="G66" s="272"/>
      <c r="H66" s="269">
        <v>16</v>
      </c>
      <c r="I66" s="86" t="s">
        <v>67</v>
      </c>
      <c r="J66" s="269" t="str">
        <f>+'Input Data'!I29</f>
        <v>Furn_FastRmp</v>
      </c>
      <c r="K66" s="86"/>
      <c r="L66" s="269">
        <v>50</v>
      </c>
      <c r="M66" s="460">
        <v>0.6</v>
      </c>
      <c r="N66" s="262"/>
      <c r="O66" s="269">
        <v>10.41560185</v>
      </c>
      <c r="P66" s="85"/>
      <c r="Q66" s="75">
        <f t="shared" si="14"/>
        <v>0</v>
      </c>
      <c r="R66" s="22">
        <f aca="true" t="shared" si="15" ref="R66:R129">+WS*LY^(($H66-1)/$B$24)*M66</f>
        <v>14983.94637363264</v>
      </c>
      <c r="S66" s="22">
        <f aca="true" t="shared" si="16" ref="S66:S129">+WS*LY^(($H66-1)/$B$24)*N66</f>
        <v>0</v>
      </c>
      <c r="T66" s="71">
        <f>+'Input Data'!$J$29</f>
        <v>0.5</v>
      </c>
      <c r="U66" s="75">
        <f aca="true" t="shared" si="17" ref="U66:U129">+WS*(LY^((+H66-1)/$B$24))*(1/L66)/(1-T66)/720</f>
        <v>1.3874024420030222</v>
      </c>
      <c r="V66" s="75">
        <f t="shared" si="5"/>
        <v>0.02</v>
      </c>
    </row>
    <row r="67" spans="1:22" ht="12.75">
      <c r="A67" s="5" t="str">
        <f>+'Input Data'!I39</f>
        <v>Litho_248</v>
      </c>
      <c r="B67" s="53"/>
      <c r="G67" s="272"/>
      <c r="H67" s="269">
        <v>20</v>
      </c>
      <c r="I67" s="86" t="s">
        <v>68</v>
      </c>
      <c r="J67" s="269" t="str">
        <f>+'Input Data'!I29</f>
        <v>Furn_FastRmp</v>
      </c>
      <c r="K67" s="86"/>
      <c r="L67" s="269">
        <v>50</v>
      </c>
      <c r="M67" s="460">
        <v>0.6</v>
      </c>
      <c r="N67" s="262"/>
      <c r="O67" s="269">
        <v>10.41560185</v>
      </c>
      <c r="P67" s="85"/>
      <c r="Q67" s="75">
        <f t="shared" si="14"/>
        <v>0</v>
      </c>
      <c r="R67" s="22">
        <f t="shared" si="15"/>
        <v>14979.66830908496</v>
      </c>
      <c r="S67" s="22">
        <f t="shared" si="16"/>
        <v>0</v>
      </c>
      <c r="T67" s="71">
        <f>+'Input Data'!$J$29</f>
        <v>0.5</v>
      </c>
      <c r="U67" s="75">
        <f t="shared" si="17"/>
        <v>1.3870063249152742</v>
      </c>
      <c r="V67" s="75">
        <f t="shared" si="5"/>
        <v>0.02</v>
      </c>
    </row>
    <row r="68" spans="1:22" ht="12.75">
      <c r="A68" s="5" t="str">
        <f>+'Input Data'!I40</f>
        <v>Litho_I</v>
      </c>
      <c r="B68" s="53"/>
      <c r="G68" s="272"/>
      <c r="H68" s="269">
        <v>25</v>
      </c>
      <c r="I68" s="86" t="s">
        <v>66</v>
      </c>
      <c r="J68" s="269" t="str">
        <f>+'Input Data'!I29</f>
        <v>Furn_FastRmp</v>
      </c>
      <c r="K68" s="86"/>
      <c r="L68" s="269">
        <v>50</v>
      </c>
      <c r="M68" s="460">
        <v>0.6</v>
      </c>
      <c r="N68" s="262"/>
      <c r="O68" s="269">
        <v>10.41560185</v>
      </c>
      <c r="P68" s="85"/>
      <c r="Q68" s="75">
        <f t="shared" si="14"/>
        <v>0</v>
      </c>
      <c r="R68" s="22">
        <f t="shared" si="15"/>
        <v>14974.322445994927</v>
      </c>
      <c r="S68" s="22">
        <f t="shared" si="16"/>
        <v>0</v>
      </c>
      <c r="T68" s="71">
        <f>+'Input Data'!$J$29</f>
        <v>0.5</v>
      </c>
      <c r="U68" s="75">
        <f t="shared" si="17"/>
        <v>1.386511337592123</v>
      </c>
      <c r="V68" s="75">
        <f aca="true" t="shared" si="18" ref="V68:V131">1/L68</f>
        <v>0.02</v>
      </c>
    </row>
    <row r="69" spans="1:22" ht="12.75">
      <c r="A69" s="5" t="str">
        <f>+'Input Data'!I41</f>
        <v>Litho_Iw</v>
      </c>
      <c r="B69" s="53"/>
      <c r="G69" s="272"/>
      <c r="H69" s="269">
        <v>47</v>
      </c>
      <c r="I69" s="86" t="s">
        <v>69</v>
      </c>
      <c r="J69" s="269" t="str">
        <f>+'Input Data'!I29</f>
        <v>Furn_FastRmp</v>
      </c>
      <c r="K69" s="86"/>
      <c r="L69" s="269">
        <v>50</v>
      </c>
      <c r="M69" s="460">
        <v>0.6</v>
      </c>
      <c r="N69" s="262"/>
      <c r="O69" s="269">
        <v>10.41560185</v>
      </c>
      <c r="P69" s="85"/>
      <c r="Q69" s="75">
        <f t="shared" si="14"/>
        <v>0</v>
      </c>
      <c r="R69" s="22">
        <f t="shared" si="15"/>
        <v>14950.823303930334</v>
      </c>
      <c r="S69" s="22">
        <f t="shared" si="16"/>
        <v>0</v>
      </c>
      <c r="T69" s="71">
        <f>+'Input Data'!$J$29</f>
        <v>0.5</v>
      </c>
      <c r="U69" s="75">
        <f t="shared" si="17"/>
        <v>1.3843354911046606</v>
      </c>
      <c r="V69" s="75">
        <f t="shared" si="18"/>
        <v>0.02</v>
      </c>
    </row>
    <row r="70" spans="1:22" ht="12.75">
      <c r="A70" s="5" t="str">
        <f>+'Input Data'!I42</f>
        <v>Meas_CD</v>
      </c>
      <c r="B70" s="53"/>
      <c r="G70" s="272"/>
      <c r="H70" s="269">
        <v>63</v>
      </c>
      <c r="I70" s="86" t="s">
        <v>67</v>
      </c>
      <c r="J70" s="269" t="str">
        <f>+'Input Data'!I29</f>
        <v>Furn_FastRmp</v>
      </c>
      <c r="K70" s="86"/>
      <c r="L70" s="269">
        <v>50</v>
      </c>
      <c r="M70" s="460">
        <v>0.6</v>
      </c>
      <c r="N70" s="262"/>
      <c r="O70" s="269">
        <v>10.41560185</v>
      </c>
      <c r="P70" s="85"/>
      <c r="Q70" s="75">
        <f t="shared" si="14"/>
        <v>0</v>
      </c>
      <c r="R70" s="22">
        <f t="shared" si="15"/>
        <v>14933.756184578402</v>
      </c>
      <c r="S70" s="22">
        <f t="shared" si="16"/>
        <v>0</v>
      </c>
      <c r="T70" s="71">
        <f>+'Input Data'!$J$29</f>
        <v>0.5</v>
      </c>
      <c r="U70" s="75">
        <f t="shared" si="17"/>
        <v>1.382755202275778</v>
      </c>
      <c r="V70" s="75">
        <f t="shared" si="18"/>
        <v>0.02</v>
      </c>
    </row>
    <row r="71" spans="1:22" ht="12.75">
      <c r="A71" s="5" t="str">
        <f>+'Input Data'!I43</f>
        <v>Meas_Film</v>
      </c>
      <c r="B71" s="53"/>
      <c r="G71" s="272"/>
      <c r="H71" s="269">
        <v>4</v>
      </c>
      <c r="I71" s="86" t="s">
        <v>70</v>
      </c>
      <c r="J71" s="269" t="str">
        <f>+'Input Data'!I30</f>
        <v>Furn_Nitr</v>
      </c>
      <c r="K71" s="86"/>
      <c r="L71" s="269">
        <v>30</v>
      </c>
      <c r="M71" s="460">
        <v>0.6</v>
      </c>
      <c r="N71" s="262"/>
      <c r="O71" s="269">
        <v>14.27951389</v>
      </c>
      <c r="P71" s="85"/>
      <c r="Q71" s="75">
        <f t="shared" si="14"/>
        <v>0</v>
      </c>
      <c r="R71" s="22">
        <f t="shared" si="15"/>
        <v>14996.787899342331</v>
      </c>
      <c r="S71" s="22">
        <f t="shared" si="16"/>
        <v>0</v>
      </c>
      <c r="T71" s="71">
        <f>+'Input Data'!$J$30</f>
        <v>0.5</v>
      </c>
      <c r="U71" s="75">
        <f t="shared" si="17"/>
        <v>2.3143191202688786</v>
      </c>
      <c r="V71" s="75">
        <f t="shared" si="18"/>
        <v>0.03333333333333333</v>
      </c>
    </row>
    <row r="72" spans="1:22" ht="12.75">
      <c r="A72" s="5" t="str">
        <f>+'Input Data'!I44</f>
        <v>Meas_Overlay</v>
      </c>
      <c r="B72" s="53"/>
      <c r="G72" s="272"/>
      <c r="H72" s="269">
        <v>117</v>
      </c>
      <c r="I72" s="86" t="s">
        <v>68</v>
      </c>
      <c r="J72" s="269" t="str">
        <f>+'Input Data'!I31</f>
        <v>Furn_OxAn</v>
      </c>
      <c r="K72" s="86"/>
      <c r="L72" s="269">
        <v>50</v>
      </c>
      <c r="M72" s="460">
        <v>0.5</v>
      </c>
      <c r="N72" s="262"/>
      <c r="O72" s="269">
        <v>3.174791667</v>
      </c>
      <c r="P72" s="85"/>
      <c r="Q72" s="75">
        <f t="shared" si="14"/>
        <v>0</v>
      </c>
      <c r="R72" s="22">
        <f t="shared" si="15"/>
        <v>12396.915304999558</v>
      </c>
      <c r="S72" s="22">
        <f t="shared" si="16"/>
        <v>0</v>
      </c>
      <c r="T72" s="71">
        <f>+'Input Data'!$J$31</f>
        <v>0.5</v>
      </c>
      <c r="U72" s="75">
        <f t="shared" si="17"/>
        <v>1.37743503388884</v>
      </c>
      <c r="V72" s="75">
        <f t="shared" si="18"/>
        <v>0.02</v>
      </c>
    </row>
    <row r="73" spans="1:22" ht="12.75">
      <c r="A73" s="5" t="str">
        <f>+'Input Data'!I45</f>
        <v>PVD_Met</v>
      </c>
      <c r="B73" s="53"/>
      <c r="G73" s="272"/>
      <c r="H73" s="269">
        <v>145</v>
      </c>
      <c r="I73" s="86" t="s">
        <v>71</v>
      </c>
      <c r="J73" s="269" t="str">
        <f>+'Input Data'!I31</f>
        <v>Furn_OxAn</v>
      </c>
      <c r="K73" s="86"/>
      <c r="L73" s="269">
        <v>35</v>
      </c>
      <c r="M73" s="460">
        <v>0.5</v>
      </c>
      <c r="N73" s="262"/>
      <c r="O73" s="269">
        <v>3.174791667</v>
      </c>
      <c r="P73" s="85"/>
      <c r="Q73" s="75">
        <f t="shared" si="14"/>
        <v>0</v>
      </c>
      <c r="R73" s="22">
        <f t="shared" si="15"/>
        <v>12372.160424814425</v>
      </c>
      <c r="S73" s="22">
        <f t="shared" si="16"/>
        <v>0</v>
      </c>
      <c r="T73" s="71">
        <f>+'Input Data'!$J$31</f>
        <v>0.5</v>
      </c>
      <c r="U73" s="75">
        <f t="shared" si="17"/>
        <v>1.9638349880657817</v>
      </c>
      <c r="V73" s="75">
        <f t="shared" si="18"/>
        <v>0.02857142857142857</v>
      </c>
    </row>
    <row r="74" spans="1:22" ht="12.75">
      <c r="A74" s="5" t="str">
        <f>+'Input Data'!I46</f>
        <v>PVD_Met(C) </v>
      </c>
      <c r="B74" s="53"/>
      <c r="G74" s="272"/>
      <c r="H74" s="269">
        <v>178</v>
      </c>
      <c r="I74" s="86" t="s">
        <v>71</v>
      </c>
      <c r="J74" s="269" t="str">
        <f>+'Input Data'!I31</f>
        <v>Furn_OxAn</v>
      </c>
      <c r="K74" s="86"/>
      <c r="L74" s="269">
        <v>35</v>
      </c>
      <c r="M74" s="460">
        <v>0.5</v>
      </c>
      <c r="N74" s="262"/>
      <c r="O74" s="269">
        <v>3.174791667</v>
      </c>
      <c r="P74" s="85"/>
      <c r="Q74" s="75">
        <f t="shared" si="14"/>
        <v>0</v>
      </c>
      <c r="R74" s="22">
        <f t="shared" si="15"/>
        <v>12343.048483593235</v>
      </c>
      <c r="S74" s="22">
        <f t="shared" si="16"/>
        <v>0</v>
      </c>
      <c r="T74" s="71">
        <f>+'Input Data'!$J$31</f>
        <v>0.5</v>
      </c>
      <c r="U74" s="75">
        <f t="shared" si="17"/>
        <v>1.9592140450147992</v>
      </c>
      <c r="V74" s="75">
        <f t="shared" si="18"/>
        <v>0.02857142857142857</v>
      </c>
    </row>
    <row r="75" spans="1:22" ht="12.75">
      <c r="A75" s="5" t="str">
        <f>+'Input Data'!I47</f>
        <v>RTP_OxAn(C) </v>
      </c>
      <c r="B75" s="53"/>
      <c r="G75" s="272"/>
      <c r="H75" s="269">
        <v>211</v>
      </c>
      <c r="I75" s="86" t="s">
        <v>71</v>
      </c>
      <c r="J75" s="269" t="str">
        <f>+'Input Data'!I31</f>
        <v>Furn_OxAn</v>
      </c>
      <c r="K75" s="86"/>
      <c r="L75" s="269">
        <v>35</v>
      </c>
      <c r="M75" s="460">
        <v>0.5</v>
      </c>
      <c r="N75" s="262"/>
      <c r="O75" s="269">
        <v>3.174791667</v>
      </c>
      <c r="P75" s="85"/>
      <c r="Q75" s="75">
        <f t="shared" si="14"/>
        <v>0</v>
      </c>
      <c r="R75" s="22">
        <f t="shared" si="15"/>
        <v>12314.005043352678</v>
      </c>
      <c r="S75" s="22">
        <f t="shared" si="16"/>
        <v>0</v>
      </c>
      <c r="T75" s="71">
        <f>+'Input Data'!$J$31</f>
        <v>0.5</v>
      </c>
      <c r="U75" s="75">
        <f t="shared" si="17"/>
        <v>1.9546039751353457</v>
      </c>
      <c r="V75" s="75">
        <f t="shared" si="18"/>
        <v>0.02857142857142857</v>
      </c>
    </row>
    <row r="76" spans="1:22" ht="12.75">
      <c r="A76" s="5" t="str">
        <f>+'Input Data'!I48</f>
        <v>Test</v>
      </c>
      <c r="B76" s="53"/>
      <c r="G76" s="272"/>
      <c r="H76" s="269">
        <v>242</v>
      </c>
      <c r="I76" s="86" t="s">
        <v>71</v>
      </c>
      <c r="J76" s="269" t="str">
        <f>+'Input Data'!I31</f>
        <v>Furn_OxAn</v>
      </c>
      <c r="K76" s="86"/>
      <c r="L76" s="269">
        <v>35</v>
      </c>
      <c r="M76" s="460">
        <v>0.5</v>
      </c>
      <c r="N76" s="262"/>
      <c r="O76" s="269">
        <v>3.174791667</v>
      </c>
      <c r="P76" s="85"/>
      <c r="Q76" s="75">
        <f t="shared" si="14"/>
        <v>0</v>
      </c>
      <c r="R76" s="22">
        <f t="shared" si="15"/>
        <v>12286.784067169578</v>
      </c>
      <c r="S76" s="22">
        <f t="shared" si="16"/>
        <v>0</v>
      </c>
      <c r="T76" s="71">
        <f>+'Input Data'!$J$31</f>
        <v>0.5</v>
      </c>
      <c r="U76" s="75">
        <f t="shared" si="17"/>
        <v>1.9502831852650122</v>
      </c>
      <c r="V76" s="75">
        <f t="shared" si="18"/>
        <v>0.02857142857142857</v>
      </c>
    </row>
    <row r="77" spans="1:22" ht="12.75">
      <c r="A77" s="5" t="str">
        <f>+'Input Data'!I49</f>
        <v>VP_HF_Clean</v>
      </c>
      <c r="B77" s="53"/>
      <c r="G77" s="272"/>
      <c r="H77" s="269">
        <v>273</v>
      </c>
      <c r="I77" s="86" t="s">
        <v>71</v>
      </c>
      <c r="J77" s="269" t="str">
        <f>+'Input Data'!I31</f>
        <v>Furn_OxAn</v>
      </c>
      <c r="K77" s="86"/>
      <c r="L77" s="269">
        <v>35</v>
      </c>
      <c r="M77" s="460">
        <v>0.5</v>
      </c>
      <c r="N77" s="262"/>
      <c r="O77" s="269">
        <v>3.174791667</v>
      </c>
      <c r="P77" s="85"/>
      <c r="Q77" s="75">
        <f t="shared" si="14"/>
        <v>0</v>
      </c>
      <c r="R77" s="22">
        <f t="shared" si="15"/>
        <v>12259.623264873182</v>
      </c>
      <c r="S77" s="22">
        <f t="shared" si="16"/>
        <v>0</v>
      </c>
      <c r="T77" s="71">
        <f>+'Input Data'!$J$31</f>
        <v>0.5</v>
      </c>
      <c r="U77" s="75">
        <f t="shared" si="17"/>
        <v>1.9459719468052668</v>
      </c>
      <c r="V77" s="75">
        <f t="shared" si="18"/>
        <v>0.02857142857142857</v>
      </c>
    </row>
    <row r="78" spans="1:22" ht="12.75">
      <c r="A78" s="5" t="str">
        <f>+'Input Data'!I50</f>
        <v>Wet_Bench</v>
      </c>
      <c r="B78" s="53"/>
      <c r="G78" s="272"/>
      <c r="H78" s="269">
        <v>282</v>
      </c>
      <c r="I78" s="86" t="s">
        <v>71</v>
      </c>
      <c r="J78" s="269" t="str">
        <f>+'Input Data'!I31</f>
        <v>Furn_OxAn</v>
      </c>
      <c r="K78" s="86"/>
      <c r="L78" s="269">
        <v>35</v>
      </c>
      <c r="M78" s="460">
        <v>0.5</v>
      </c>
      <c r="N78" s="262"/>
      <c r="O78" s="269">
        <v>3.174791667</v>
      </c>
      <c r="P78" s="85"/>
      <c r="Q78" s="75">
        <f t="shared" si="14"/>
        <v>0</v>
      </c>
      <c r="R78" s="22">
        <f t="shared" si="15"/>
        <v>12251.74912249275</v>
      </c>
      <c r="S78" s="22">
        <f t="shared" si="16"/>
        <v>0</v>
      </c>
      <c r="T78" s="71">
        <f>+'Input Data'!$J$31</f>
        <v>0.5</v>
      </c>
      <c r="U78" s="75">
        <f t="shared" si="17"/>
        <v>1.944722082935357</v>
      </c>
      <c r="V78" s="75">
        <f t="shared" si="18"/>
        <v>0.02857142857142857</v>
      </c>
    </row>
    <row r="79" spans="1:22" ht="12.75">
      <c r="A79" s="265" t="str">
        <f>+'Input Data'!I51</f>
        <v>Wet_Bench(I)</v>
      </c>
      <c r="B79" s="64"/>
      <c r="G79" s="272"/>
      <c r="H79" s="269">
        <v>85</v>
      </c>
      <c r="I79" s="86" t="s">
        <v>72</v>
      </c>
      <c r="J79" s="269" t="str">
        <f>+'Input Data'!I32</f>
        <v>Furn_OxAn(I)</v>
      </c>
      <c r="K79" s="86"/>
      <c r="L79" s="269">
        <v>35</v>
      </c>
      <c r="M79" s="460">
        <v>0.5</v>
      </c>
      <c r="N79" s="262"/>
      <c r="O79" s="269">
        <v>3.174791667</v>
      </c>
      <c r="P79" s="85"/>
      <c r="Q79" s="75">
        <f t="shared" si="14"/>
        <v>0</v>
      </c>
      <c r="R79" s="22">
        <f t="shared" si="15"/>
        <v>12425.267252482901</v>
      </c>
      <c r="S79" s="22">
        <f t="shared" si="16"/>
        <v>0</v>
      </c>
      <c r="T79" s="71">
        <f>+'Input Data'!$J$32</f>
        <v>0.5</v>
      </c>
      <c r="U79" s="75">
        <f t="shared" si="17"/>
        <v>1.972264643251254</v>
      </c>
      <c r="V79" s="75">
        <f t="shared" si="18"/>
        <v>0.02857142857142857</v>
      </c>
    </row>
    <row r="80" spans="7:22" ht="12.75">
      <c r="G80" s="272"/>
      <c r="H80" s="269">
        <v>102</v>
      </c>
      <c r="I80" s="86" t="s">
        <v>73</v>
      </c>
      <c r="J80" s="269" t="str">
        <f>+'Input Data'!I32</f>
        <v>Furn_OxAn(I)</v>
      </c>
      <c r="K80" s="86"/>
      <c r="L80" s="269">
        <v>35</v>
      </c>
      <c r="M80" s="460">
        <v>0.5</v>
      </c>
      <c r="N80" s="262"/>
      <c r="O80" s="269">
        <v>3.174791667</v>
      </c>
      <c r="P80" s="85"/>
      <c r="Q80" s="75">
        <f t="shared" si="14"/>
        <v>0</v>
      </c>
      <c r="R80" s="22">
        <f t="shared" si="15"/>
        <v>12410.197216283255</v>
      </c>
      <c r="S80" s="22">
        <f t="shared" si="16"/>
        <v>0</v>
      </c>
      <c r="T80" s="71">
        <f>+'Input Data'!$J$32</f>
        <v>0.5</v>
      </c>
      <c r="U80" s="75">
        <f t="shared" si="17"/>
        <v>1.969872574013215</v>
      </c>
      <c r="V80" s="75">
        <f t="shared" si="18"/>
        <v>0.02857142857142857</v>
      </c>
    </row>
    <row r="81" spans="7:22" ht="12.75">
      <c r="G81" s="272"/>
      <c r="H81" s="269">
        <v>49</v>
      </c>
      <c r="I81" s="86" t="s">
        <v>74</v>
      </c>
      <c r="J81" s="269" t="str">
        <f>+'Input Data'!I33</f>
        <v>Furn_Poly</v>
      </c>
      <c r="K81" s="86"/>
      <c r="L81" s="269">
        <v>30</v>
      </c>
      <c r="M81" s="460">
        <v>0.6</v>
      </c>
      <c r="N81" s="262"/>
      <c r="O81" s="269">
        <v>3.174791667</v>
      </c>
      <c r="P81" s="85"/>
      <c r="Q81" s="75">
        <f t="shared" si="14"/>
        <v>0</v>
      </c>
      <c r="R81" s="22">
        <f t="shared" si="15"/>
        <v>14948.688847775169</v>
      </c>
      <c r="S81" s="22">
        <f t="shared" si="16"/>
        <v>0</v>
      </c>
      <c r="T81" s="71">
        <f>+'Input Data'!$J$33</f>
        <v>0.5</v>
      </c>
      <c r="U81" s="75">
        <f t="shared" si="17"/>
        <v>2.3068964271257975</v>
      </c>
      <c r="V81" s="75">
        <f t="shared" si="18"/>
        <v>0.03333333333333333</v>
      </c>
    </row>
    <row r="82" spans="1:22" ht="12.75">
      <c r="A82" s="103"/>
      <c r="B82" s="103"/>
      <c r="C82" s="103"/>
      <c r="H82" s="269">
        <v>80</v>
      </c>
      <c r="I82" s="86" t="s">
        <v>75</v>
      </c>
      <c r="J82" s="269" t="str">
        <f>+'Input Data'!I34</f>
        <v>Furn_TEOS</v>
      </c>
      <c r="K82" s="86"/>
      <c r="L82" s="269">
        <v>30</v>
      </c>
      <c r="M82" s="460">
        <v>0.6</v>
      </c>
      <c r="N82" s="262"/>
      <c r="O82" s="269">
        <v>3.174791667</v>
      </c>
      <c r="P82" s="85"/>
      <c r="Q82" s="75">
        <f t="shared" si="14"/>
        <v>0</v>
      </c>
      <c r="R82" s="22">
        <f t="shared" si="15"/>
        <v>14915.643717319133</v>
      </c>
      <c r="S82" s="22">
        <f t="shared" si="16"/>
        <v>0</v>
      </c>
      <c r="T82" s="71">
        <f>+'Input Data'!$J$34</f>
        <v>0.5</v>
      </c>
      <c r="U82" s="75">
        <f t="shared" si="17"/>
        <v>2.3017968699566564</v>
      </c>
      <c r="V82" s="75">
        <f t="shared" si="18"/>
        <v>0.03333333333333333</v>
      </c>
    </row>
    <row r="83" spans="1:22" ht="12.75">
      <c r="A83" s="103"/>
      <c r="B83" s="103"/>
      <c r="C83" s="103"/>
      <c r="H83" s="269">
        <v>31</v>
      </c>
      <c r="I83" s="86" t="s">
        <v>76</v>
      </c>
      <c r="J83" s="269" t="str">
        <f>+'Input Data'!I35</f>
        <v>Implant_HiE</v>
      </c>
      <c r="K83" s="86"/>
      <c r="L83" s="269">
        <v>200</v>
      </c>
      <c r="M83" s="460">
        <v>0.3</v>
      </c>
      <c r="N83" s="262"/>
      <c r="O83" s="269">
        <v>2.942098765</v>
      </c>
      <c r="P83" s="85"/>
      <c r="Q83" s="75">
        <f t="shared" si="14"/>
        <v>0</v>
      </c>
      <c r="R83" s="22">
        <f t="shared" si="15"/>
        <v>7483.95496426329</v>
      </c>
      <c r="S83" s="22">
        <f t="shared" si="16"/>
        <v>0</v>
      </c>
      <c r="T83" s="71">
        <f>+'Input Data'!$J$35</f>
        <v>0.63</v>
      </c>
      <c r="U83" s="75">
        <f t="shared" si="17"/>
        <v>0.4682154006671228</v>
      </c>
      <c r="V83" s="75">
        <f t="shared" si="18"/>
        <v>0.005</v>
      </c>
    </row>
    <row r="84" spans="1:22" ht="12.75">
      <c r="A84" s="103"/>
      <c r="B84" s="103"/>
      <c r="C84" s="103"/>
      <c r="H84" s="269">
        <v>32</v>
      </c>
      <c r="I84" s="86" t="s">
        <v>76</v>
      </c>
      <c r="J84" s="269" t="str">
        <f>+'Input Data'!I35</f>
        <v>Implant_HiE</v>
      </c>
      <c r="K84" s="86"/>
      <c r="L84" s="269">
        <v>200</v>
      </c>
      <c r="M84" s="460">
        <v>0.3</v>
      </c>
      <c r="N84" s="262"/>
      <c r="O84" s="269">
        <v>2.942098765</v>
      </c>
      <c r="P84" s="85"/>
      <c r="Q84" s="75">
        <f t="shared" si="14"/>
        <v>0</v>
      </c>
      <c r="R84" s="22">
        <f t="shared" si="15"/>
        <v>7483.420721312481</v>
      </c>
      <c r="S84" s="22">
        <f t="shared" si="16"/>
        <v>0</v>
      </c>
      <c r="T84" s="71">
        <f>+'Input Data'!$J$35</f>
        <v>0.63</v>
      </c>
      <c r="U84" s="75">
        <f t="shared" si="17"/>
        <v>0.46818197705908915</v>
      </c>
      <c r="V84" s="75">
        <f t="shared" si="18"/>
        <v>0.005</v>
      </c>
    </row>
    <row r="85" spans="8:22" ht="12.75">
      <c r="H85" s="269">
        <v>40</v>
      </c>
      <c r="I85" s="86" t="s">
        <v>76</v>
      </c>
      <c r="J85" s="269" t="str">
        <f>+'Input Data'!I35</f>
        <v>Implant_HiE</v>
      </c>
      <c r="K85" s="86"/>
      <c r="L85" s="269">
        <v>200</v>
      </c>
      <c r="M85" s="460">
        <v>0.3</v>
      </c>
      <c r="N85" s="262"/>
      <c r="O85" s="269">
        <v>2.942098765</v>
      </c>
      <c r="P85" s="85"/>
      <c r="Q85" s="75">
        <f t="shared" si="14"/>
        <v>0</v>
      </c>
      <c r="R85" s="22">
        <f t="shared" si="15"/>
        <v>7479.148150409052</v>
      </c>
      <c r="S85" s="22">
        <f t="shared" si="16"/>
        <v>0</v>
      </c>
      <c r="T85" s="71">
        <f>+'Input Data'!$J$35</f>
        <v>0.63</v>
      </c>
      <c r="U85" s="75">
        <f t="shared" si="17"/>
        <v>0.4679146740746404</v>
      </c>
      <c r="V85" s="75">
        <f t="shared" si="18"/>
        <v>0.005</v>
      </c>
    </row>
    <row r="86" spans="8:22" ht="12.75">
      <c r="H86" s="269">
        <v>41</v>
      </c>
      <c r="I86" s="86" t="s">
        <v>76</v>
      </c>
      <c r="J86" s="269" t="str">
        <f>+'Input Data'!I35</f>
        <v>Implant_HiE</v>
      </c>
      <c r="K86" s="86"/>
      <c r="L86" s="269">
        <v>200</v>
      </c>
      <c r="M86" s="460">
        <v>0.3</v>
      </c>
      <c r="N86" s="262"/>
      <c r="O86" s="269">
        <v>2.942098765</v>
      </c>
      <c r="P86" s="85"/>
      <c r="Q86" s="75">
        <f t="shared" si="14"/>
        <v>0</v>
      </c>
      <c r="R86" s="22">
        <f t="shared" si="15"/>
        <v>7478.614250593178</v>
      </c>
      <c r="S86" s="22">
        <f t="shared" si="16"/>
        <v>0</v>
      </c>
      <c r="T86" s="71">
        <f>+'Input Data'!$J$35</f>
        <v>0.63</v>
      </c>
      <c r="U86" s="75">
        <f t="shared" si="17"/>
        <v>0.46788127193400775</v>
      </c>
      <c r="V86" s="75">
        <f t="shared" si="18"/>
        <v>0.005</v>
      </c>
    </row>
    <row r="87" spans="8:22" ht="12.75">
      <c r="H87" s="269">
        <v>33</v>
      </c>
      <c r="I87" s="86" t="s">
        <v>76</v>
      </c>
      <c r="J87" s="269" t="str">
        <f>+'Input Data'!I36</f>
        <v>Implant_LoE</v>
      </c>
      <c r="K87" s="86"/>
      <c r="L87" s="269">
        <v>150</v>
      </c>
      <c r="M87" s="460">
        <v>0.3</v>
      </c>
      <c r="N87" s="262"/>
      <c r="O87" s="269">
        <v>2.942098765</v>
      </c>
      <c r="P87" s="85"/>
      <c r="Q87" s="75">
        <f t="shared" si="14"/>
        <v>0</v>
      </c>
      <c r="R87" s="22">
        <f t="shared" si="15"/>
        <v>7482.886516498662</v>
      </c>
      <c r="S87" s="22">
        <f t="shared" si="16"/>
        <v>0</v>
      </c>
      <c r="T87" s="71">
        <f>+'Input Data'!$J$36</f>
        <v>0.5800000000000001</v>
      </c>
      <c r="U87" s="75">
        <f t="shared" si="17"/>
        <v>0.5498887798720359</v>
      </c>
      <c r="V87" s="75">
        <f t="shared" si="18"/>
        <v>0.006666666666666667</v>
      </c>
    </row>
    <row r="88" spans="8:22" ht="12.75">
      <c r="H88" s="269">
        <v>42</v>
      </c>
      <c r="I88" s="86" t="s">
        <v>76</v>
      </c>
      <c r="J88" s="269" t="str">
        <f>+'Input Data'!I36</f>
        <v>Implant_LoE</v>
      </c>
      <c r="K88" s="86"/>
      <c r="L88" s="269">
        <v>150</v>
      </c>
      <c r="M88" s="460">
        <v>0.3</v>
      </c>
      <c r="N88" s="262"/>
      <c r="O88" s="269">
        <v>2.942098765</v>
      </c>
      <c r="P88" s="85"/>
      <c r="Q88" s="75">
        <f t="shared" si="14"/>
        <v>0</v>
      </c>
      <c r="R88" s="22">
        <f t="shared" si="15"/>
        <v>7478.080388889803</v>
      </c>
      <c r="S88" s="22">
        <f t="shared" si="16"/>
        <v>0</v>
      </c>
      <c r="T88" s="71">
        <f>+'Input Data'!$J$36</f>
        <v>0.5800000000000001</v>
      </c>
      <c r="U88" s="75">
        <f t="shared" si="17"/>
        <v>0.5495355958913731</v>
      </c>
      <c r="V88" s="75">
        <f t="shared" si="18"/>
        <v>0.006666666666666667</v>
      </c>
    </row>
    <row r="89" spans="8:22" ht="12.75">
      <c r="H89" s="269">
        <v>69</v>
      </c>
      <c r="I89" s="86" t="s">
        <v>76</v>
      </c>
      <c r="J89" s="269" t="str">
        <f>+'Input Data'!I36</f>
        <v>Implant_LoE</v>
      </c>
      <c r="K89" s="86"/>
      <c r="L89" s="269">
        <v>150</v>
      </c>
      <c r="M89" s="460">
        <v>0.3</v>
      </c>
      <c r="N89" s="262"/>
      <c r="O89" s="269">
        <v>2.942098765</v>
      </c>
      <c r="P89" s="85"/>
      <c r="Q89" s="75">
        <f t="shared" si="14"/>
        <v>0</v>
      </c>
      <c r="R89" s="22">
        <f t="shared" si="15"/>
        <v>7463.680519485924</v>
      </c>
      <c r="S89" s="22">
        <f t="shared" si="16"/>
        <v>0</v>
      </c>
      <c r="T89" s="71">
        <f>+'Input Data'!$J$36</f>
        <v>0.5800000000000001</v>
      </c>
      <c r="U89" s="75">
        <f t="shared" si="17"/>
        <v>0.5484774044301828</v>
      </c>
      <c r="V89" s="75">
        <f t="shared" si="18"/>
        <v>0.006666666666666667</v>
      </c>
    </row>
    <row r="90" spans="8:22" ht="12.75">
      <c r="H90" s="269">
        <v>76</v>
      </c>
      <c r="I90" s="86" t="s">
        <v>76</v>
      </c>
      <c r="J90" s="269" t="str">
        <f>+'Input Data'!I36</f>
        <v>Implant_LoE</v>
      </c>
      <c r="K90" s="86"/>
      <c r="L90" s="269">
        <v>150</v>
      </c>
      <c r="M90" s="460">
        <v>0.3</v>
      </c>
      <c r="N90" s="262"/>
      <c r="O90" s="269">
        <v>2.942098765</v>
      </c>
      <c r="P90" s="85"/>
      <c r="Q90" s="75">
        <f t="shared" si="14"/>
        <v>0</v>
      </c>
      <c r="R90" s="22">
        <f t="shared" si="15"/>
        <v>7459.9517484967855</v>
      </c>
      <c r="S90" s="22">
        <f t="shared" si="16"/>
        <v>0</v>
      </c>
      <c r="T90" s="71">
        <f>+'Input Data'!$J$36</f>
        <v>0.5800000000000001</v>
      </c>
      <c r="U90" s="75">
        <f t="shared" si="17"/>
        <v>0.5482033912769538</v>
      </c>
      <c r="V90" s="75">
        <f t="shared" si="18"/>
        <v>0.006666666666666667</v>
      </c>
    </row>
    <row r="91" spans="8:22" ht="12.75">
      <c r="H91" s="269">
        <v>91</v>
      </c>
      <c r="I91" s="86" t="s">
        <v>76</v>
      </c>
      <c r="J91" s="269" t="str">
        <f>+'Input Data'!I36</f>
        <v>Implant_LoE</v>
      </c>
      <c r="K91" s="86"/>
      <c r="L91" s="269">
        <v>150</v>
      </c>
      <c r="M91" s="460">
        <v>0.3</v>
      </c>
      <c r="N91" s="262"/>
      <c r="O91" s="269">
        <v>2.942098765</v>
      </c>
      <c r="P91" s="85"/>
      <c r="Q91" s="75">
        <f aca="true" t="shared" si="19" ref="Q91:Q154">+WS*LY^(($H91-1)/$B$24)*P91</f>
        <v>0</v>
      </c>
      <c r="R91" s="22">
        <f t="shared" si="15"/>
        <v>7451.9677966241925</v>
      </c>
      <c r="S91" s="22">
        <f t="shared" si="16"/>
        <v>0</v>
      </c>
      <c r="T91" s="71">
        <f>+'Input Data'!$J$36</f>
        <v>0.5800000000000001</v>
      </c>
      <c r="U91" s="75">
        <f t="shared" si="17"/>
        <v>0.5476166811158285</v>
      </c>
      <c r="V91" s="75">
        <f t="shared" si="18"/>
        <v>0.006666666666666667</v>
      </c>
    </row>
    <row r="92" spans="8:22" ht="12.75">
      <c r="H92" s="269">
        <v>98</v>
      </c>
      <c r="I92" s="86" t="s">
        <v>76</v>
      </c>
      <c r="J92" s="269" t="str">
        <f>+'Input Data'!I36</f>
        <v>Implant_LoE</v>
      </c>
      <c r="K92" s="86"/>
      <c r="L92" s="269">
        <v>150</v>
      </c>
      <c r="M92" s="460">
        <v>0.3</v>
      </c>
      <c r="N92" s="262"/>
      <c r="O92" s="269">
        <v>2.942098765</v>
      </c>
      <c r="P92" s="85"/>
      <c r="Q92" s="75">
        <f t="shared" si="19"/>
        <v>0</v>
      </c>
      <c r="R92" s="22">
        <f t="shared" si="15"/>
        <v>7448.244877179892</v>
      </c>
      <c r="S92" s="22">
        <f t="shared" si="16"/>
        <v>0</v>
      </c>
      <c r="T92" s="71">
        <f>+'Input Data'!$J$36</f>
        <v>0.5800000000000001</v>
      </c>
      <c r="U92" s="75">
        <f t="shared" si="17"/>
        <v>0.5473430979703038</v>
      </c>
      <c r="V92" s="75">
        <f t="shared" si="18"/>
        <v>0.006666666666666667</v>
      </c>
    </row>
    <row r="93" spans="8:22" ht="12.75">
      <c r="H93" s="269">
        <v>7</v>
      </c>
      <c r="I93" s="86" t="s">
        <v>77</v>
      </c>
      <c r="J93" s="269" t="str">
        <f>+'Input Data'!I37</f>
        <v>Insp_PLY</v>
      </c>
      <c r="K93" s="86"/>
      <c r="L93" s="269">
        <v>200</v>
      </c>
      <c r="M93" s="460">
        <v>0</v>
      </c>
      <c r="N93" s="262"/>
      <c r="O93" s="269">
        <v>0.903689236</v>
      </c>
      <c r="P93" s="85"/>
      <c r="Q93" s="75">
        <f t="shared" si="19"/>
        <v>0</v>
      </c>
      <c r="R93" s="22">
        <f t="shared" si="15"/>
        <v>0</v>
      </c>
      <c r="S93" s="22">
        <f t="shared" si="16"/>
        <v>0</v>
      </c>
      <c r="T93" s="71">
        <f>+'Input Data'!$J$37</f>
        <v>0.7</v>
      </c>
      <c r="U93" s="75">
        <f t="shared" si="17"/>
        <v>0.5784558829677484</v>
      </c>
      <c r="V93" s="75">
        <f t="shared" si="18"/>
        <v>0.005</v>
      </c>
    </row>
    <row r="94" spans="8:22" ht="12.75">
      <c r="H94" s="269">
        <v>13</v>
      </c>
      <c r="I94" s="86" t="s">
        <v>77</v>
      </c>
      <c r="J94" s="269" t="str">
        <f>+'Input Data'!I37</f>
        <v>Insp_PLY</v>
      </c>
      <c r="K94" s="86"/>
      <c r="L94" s="269">
        <v>200</v>
      </c>
      <c r="M94" s="460">
        <v>0</v>
      </c>
      <c r="N94" s="262"/>
      <c r="O94" s="269">
        <v>0.903689236</v>
      </c>
      <c r="P94" s="85"/>
      <c r="Q94" s="75">
        <f t="shared" si="19"/>
        <v>0</v>
      </c>
      <c r="R94" s="22">
        <f t="shared" si="15"/>
        <v>0</v>
      </c>
      <c r="S94" s="22">
        <f t="shared" si="16"/>
        <v>0</v>
      </c>
      <c r="T94" s="71">
        <f>+'Input Data'!$J$37</f>
        <v>0.7</v>
      </c>
      <c r="U94" s="75">
        <f t="shared" si="17"/>
        <v>0.5782081683571157</v>
      </c>
      <c r="V94" s="75">
        <f t="shared" si="18"/>
        <v>0.005</v>
      </c>
    </row>
    <row r="95" spans="8:22" ht="12.75">
      <c r="H95" s="269">
        <v>29</v>
      </c>
      <c r="I95" s="86" t="s">
        <v>77</v>
      </c>
      <c r="J95" s="269" t="str">
        <f>+'Input Data'!I37</f>
        <v>Insp_PLY</v>
      </c>
      <c r="K95" s="86"/>
      <c r="L95" s="269">
        <v>200</v>
      </c>
      <c r="M95" s="460">
        <v>0</v>
      </c>
      <c r="N95" s="262"/>
      <c r="O95" s="269">
        <v>0.903689236</v>
      </c>
      <c r="P95" s="85"/>
      <c r="Q95" s="75">
        <f t="shared" si="19"/>
        <v>0</v>
      </c>
      <c r="R95" s="22">
        <f t="shared" si="15"/>
        <v>0</v>
      </c>
      <c r="S95" s="22">
        <f t="shared" si="16"/>
        <v>0</v>
      </c>
      <c r="T95" s="71">
        <f>+'Input Data'!$J$37</f>
        <v>0.7</v>
      </c>
      <c r="U95" s="75">
        <f t="shared" si="17"/>
        <v>0.5775481145514488</v>
      </c>
      <c r="V95" s="75">
        <f t="shared" si="18"/>
        <v>0.005</v>
      </c>
    </row>
    <row r="96" spans="8:22" ht="12.75">
      <c r="H96" s="269">
        <v>38</v>
      </c>
      <c r="I96" s="86" t="s">
        <v>77</v>
      </c>
      <c r="J96" s="269" t="str">
        <f>+'Input Data'!I37</f>
        <v>Insp_PLY</v>
      </c>
      <c r="K96" s="86"/>
      <c r="L96" s="269">
        <v>200</v>
      </c>
      <c r="M96" s="460">
        <v>0</v>
      </c>
      <c r="N96" s="262"/>
      <c r="O96" s="269">
        <v>0.903689236</v>
      </c>
      <c r="P96" s="85"/>
      <c r="Q96" s="75">
        <f t="shared" si="19"/>
        <v>0</v>
      </c>
      <c r="R96" s="22">
        <f t="shared" si="15"/>
        <v>0</v>
      </c>
      <c r="S96" s="22">
        <f t="shared" si="16"/>
        <v>0</v>
      </c>
      <c r="T96" s="71">
        <f>+'Input Data'!$J$37</f>
        <v>0.7</v>
      </c>
      <c r="U96" s="75">
        <f t="shared" si="17"/>
        <v>0.5771771654621276</v>
      </c>
      <c r="V96" s="75">
        <f t="shared" si="18"/>
        <v>0.005</v>
      </c>
    </row>
    <row r="97" spans="8:22" ht="12.75">
      <c r="H97" s="269">
        <v>53</v>
      </c>
      <c r="I97" s="86" t="s">
        <v>77</v>
      </c>
      <c r="J97" s="269" t="str">
        <f>+'Input Data'!I37</f>
        <v>Insp_PLY</v>
      </c>
      <c r="K97" s="86"/>
      <c r="L97" s="269">
        <v>200</v>
      </c>
      <c r="M97" s="460">
        <v>0</v>
      </c>
      <c r="N97" s="262"/>
      <c r="O97" s="269">
        <v>0.903689236</v>
      </c>
      <c r="P97" s="85"/>
      <c r="Q97" s="75">
        <f t="shared" si="19"/>
        <v>0</v>
      </c>
      <c r="R97" s="22">
        <f t="shared" si="15"/>
        <v>0</v>
      </c>
      <c r="S97" s="22">
        <f t="shared" si="16"/>
        <v>0</v>
      </c>
      <c r="T97" s="71">
        <f>+'Input Data'!$J$37</f>
        <v>0.7</v>
      </c>
      <c r="U97" s="75">
        <f t="shared" si="17"/>
        <v>0.5765594463579875</v>
      </c>
      <c r="V97" s="75">
        <f t="shared" si="18"/>
        <v>0.005</v>
      </c>
    </row>
    <row r="98" spans="8:22" ht="12.75">
      <c r="H98" s="269">
        <v>60</v>
      </c>
      <c r="I98" s="86" t="s">
        <v>77</v>
      </c>
      <c r="J98" s="269" t="str">
        <f>+'Input Data'!I37</f>
        <v>Insp_PLY</v>
      </c>
      <c r="K98" s="86"/>
      <c r="L98" s="269">
        <v>200</v>
      </c>
      <c r="M98" s="460">
        <v>0</v>
      </c>
      <c r="N98" s="262"/>
      <c r="O98" s="269">
        <v>0.903689236</v>
      </c>
      <c r="P98" s="85"/>
      <c r="Q98" s="75">
        <f t="shared" si="19"/>
        <v>0</v>
      </c>
      <c r="R98" s="22">
        <f t="shared" si="15"/>
        <v>0</v>
      </c>
      <c r="S98" s="22">
        <f t="shared" si="16"/>
        <v>0</v>
      </c>
      <c r="T98" s="71">
        <f>+'Input Data'!$J$37</f>
        <v>0.7</v>
      </c>
      <c r="U98" s="75">
        <f t="shared" si="17"/>
        <v>0.5762714037319023</v>
      </c>
      <c r="V98" s="75">
        <f t="shared" si="18"/>
        <v>0.005</v>
      </c>
    </row>
    <row r="99" spans="8:22" ht="12.75">
      <c r="H99" s="269">
        <v>67</v>
      </c>
      <c r="I99" s="86" t="s">
        <v>77</v>
      </c>
      <c r="J99" s="269" t="str">
        <f>+'Input Data'!I37</f>
        <v>Insp_PLY</v>
      </c>
      <c r="K99" s="86"/>
      <c r="L99" s="269">
        <v>200</v>
      </c>
      <c r="M99" s="460">
        <v>0</v>
      </c>
      <c r="N99" s="262"/>
      <c r="O99" s="269">
        <v>0.903689236</v>
      </c>
      <c r="P99" s="85"/>
      <c r="Q99" s="75">
        <f t="shared" si="19"/>
        <v>0</v>
      </c>
      <c r="R99" s="22">
        <f t="shared" si="15"/>
        <v>0</v>
      </c>
      <c r="S99" s="22">
        <f t="shared" si="16"/>
        <v>0</v>
      </c>
      <c r="T99" s="71">
        <f>+'Input Data'!$J$37</f>
        <v>0.7</v>
      </c>
      <c r="U99" s="75">
        <f t="shared" si="17"/>
        <v>0.5759835050086791</v>
      </c>
      <c r="V99" s="75">
        <f t="shared" si="18"/>
        <v>0.005</v>
      </c>
    </row>
    <row r="100" spans="8:22" ht="12.75">
      <c r="H100" s="269">
        <v>74</v>
      </c>
      <c r="I100" s="86" t="s">
        <v>77</v>
      </c>
      <c r="J100" s="269" t="str">
        <f>+'Input Data'!I37</f>
        <v>Insp_PLY</v>
      </c>
      <c r="K100" s="86"/>
      <c r="L100" s="269">
        <v>200</v>
      </c>
      <c r="M100" s="460">
        <v>0</v>
      </c>
      <c r="N100" s="262"/>
      <c r="O100" s="269">
        <v>0.903689236</v>
      </c>
      <c r="P100" s="85"/>
      <c r="Q100" s="75">
        <f t="shared" si="19"/>
        <v>0</v>
      </c>
      <c r="R100" s="22">
        <f t="shared" si="15"/>
        <v>0</v>
      </c>
      <c r="S100" s="22">
        <f t="shared" si="16"/>
        <v>0</v>
      </c>
      <c r="T100" s="71">
        <f>+'Input Data'!$J$37</f>
        <v>0.7</v>
      </c>
      <c r="U100" s="75">
        <f t="shared" si="17"/>
        <v>0.5756957501164257</v>
      </c>
      <c r="V100" s="75">
        <f t="shared" si="18"/>
        <v>0.005</v>
      </c>
    </row>
    <row r="101" spans="8:22" ht="12.75">
      <c r="H101" s="269">
        <v>89</v>
      </c>
      <c r="I101" s="86" t="s">
        <v>77</v>
      </c>
      <c r="J101" s="269" t="str">
        <f>+'Input Data'!I37</f>
        <v>Insp_PLY</v>
      </c>
      <c r="K101" s="86"/>
      <c r="L101" s="269">
        <v>200</v>
      </c>
      <c r="M101" s="460">
        <v>0</v>
      </c>
      <c r="N101" s="262"/>
      <c r="O101" s="269">
        <v>0.903689236</v>
      </c>
      <c r="P101" s="85"/>
      <c r="Q101" s="75">
        <f t="shared" si="19"/>
        <v>0</v>
      </c>
      <c r="R101" s="22">
        <f t="shared" si="15"/>
        <v>0</v>
      </c>
      <c r="S101" s="22">
        <f t="shared" si="16"/>
        <v>0</v>
      </c>
      <c r="T101" s="71">
        <f>+'Input Data'!$J$37</f>
        <v>0.7</v>
      </c>
      <c r="U101" s="75">
        <f t="shared" si="17"/>
        <v>0.5750796164848493</v>
      </c>
      <c r="V101" s="75">
        <f t="shared" si="18"/>
        <v>0.005</v>
      </c>
    </row>
    <row r="102" spans="7:22" ht="12.75">
      <c r="G102" s="272"/>
      <c r="H102" s="269">
        <v>96</v>
      </c>
      <c r="I102" s="86" t="s">
        <v>77</v>
      </c>
      <c r="J102" s="269" t="str">
        <f>+'Input Data'!I37</f>
        <v>Insp_PLY</v>
      </c>
      <c r="K102" s="86"/>
      <c r="L102" s="269">
        <v>200</v>
      </c>
      <c r="M102" s="460">
        <v>0</v>
      </c>
      <c r="N102" s="262"/>
      <c r="O102" s="269">
        <v>0.903689236</v>
      </c>
      <c r="P102" s="85"/>
      <c r="Q102" s="75">
        <f t="shared" si="19"/>
        <v>0</v>
      </c>
      <c r="R102" s="22">
        <f t="shared" si="15"/>
        <v>0</v>
      </c>
      <c r="S102" s="22">
        <f t="shared" si="16"/>
        <v>0</v>
      </c>
      <c r="T102" s="71">
        <f>+'Input Data'!$J$37</f>
        <v>0.7</v>
      </c>
      <c r="U102" s="75">
        <f t="shared" si="17"/>
        <v>0.574792313165154</v>
      </c>
      <c r="V102" s="75">
        <f t="shared" si="18"/>
        <v>0.005</v>
      </c>
    </row>
    <row r="103" spans="7:22" ht="12.75">
      <c r="G103" s="272"/>
      <c r="H103" s="269">
        <v>120</v>
      </c>
      <c r="I103" s="86" t="s">
        <v>77</v>
      </c>
      <c r="J103" s="269" t="str">
        <f>+'Input Data'!I37</f>
        <v>Insp_PLY</v>
      </c>
      <c r="K103" s="86"/>
      <c r="L103" s="269">
        <v>200</v>
      </c>
      <c r="M103" s="460">
        <v>0</v>
      </c>
      <c r="N103" s="262"/>
      <c r="O103" s="269">
        <v>0.903689236</v>
      </c>
      <c r="P103" s="85"/>
      <c r="Q103" s="75">
        <f t="shared" si="19"/>
        <v>0</v>
      </c>
      <c r="R103" s="22">
        <f t="shared" si="15"/>
        <v>0</v>
      </c>
      <c r="S103" s="22">
        <f t="shared" si="16"/>
        <v>0</v>
      </c>
      <c r="T103" s="71">
        <f>+'Input Data'!$J$37</f>
        <v>0.7</v>
      </c>
      <c r="U103" s="75">
        <f t="shared" si="17"/>
        <v>0.5738083624542873</v>
      </c>
      <c r="V103" s="75">
        <f t="shared" si="18"/>
        <v>0.005</v>
      </c>
    </row>
    <row r="104" spans="7:22" ht="12.75">
      <c r="G104" s="272"/>
      <c r="H104" s="269">
        <v>124</v>
      </c>
      <c r="I104" s="86" t="s">
        <v>77</v>
      </c>
      <c r="J104" s="269" t="str">
        <f>+'Input Data'!I37</f>
        <v>Insp_PLY</v>
      </c>
      <c r="K104" s="86"/>
      <c r="L104" s="269">
        <v>200</v>
      </c>
      <c r="M104" s="460">
        <v>0</v>
      </c>
      <c r="N104" s="262"/>
      <c r="O104" s="269">
        <v>0.903689236</v>
      </c>
      <c r="P104" s="85"/>
      <c r="Q104" s="75">
        <f t="shared" si="19"/>
        <v>0</v>
      </c>
      <c r="R104" s="22">
        <f t="shared" si="15"/>
        <v>0</v>
      </c>
      <c r="S104" s="22">
        <f t="shared" si="16"/>
        <v>0</v>
      </c>
      <c r="T104" s="71">
        <f>+'Input Data'!$J$37</f>
        <v>0.7</v>
      </c>
      <c r="U104" s="75">
        <f t="shared" si="17"/>
        <v>0.5736445345046027</v>
      </c>
      <c r="V104" s="75">
        <f t="shared" si="18"/>
        <v>0.005</v>
      </c>
    </row>
    <row r="105" spans="7:22" ht="12.75">
      <c r="G105" s="272"/>
      <c r="H105" s="269">
        <v>133</v>
      </c>
      <c r="I105" s="86" t="s">
        <v>77</v>
      </c>
      <c r="J105" s="269" t="str">
        <f>+'Input Data'!I37</f>
        <v>Insp_PLY</v>
      </c>
      <c r="K105" s="86"/>
      <c r="L105" s="269">
        <v>200</v>
      </c>
      <c r="M105" s="460">
        <v>0</v>
      </c>
      <c r="N105" s="262"/>
      <c r="O105" s="269">
        <v>0.903689236</v>
      </c>
      <c r="P105" s="85"/>
      <c r="Q105" s="75">
        <f t="shared" si="19"/>
        <v>0</v>
      </c>
      <c r="R105" s="22">
        <f t="shared" si="15"/>
        <v>0</v>
      </c>
      <c r="S105" s="22">
        <f t="shared" si="16"/>
        <v>0</v>
      </c>
      <c r="T105" s="71">
        <f>+'Input Data'!$J$37</f>
        <v>0.7</v>
      </c>
      <c r="U105" s="75">
        <f t="shared" si="17"/>
        <v>0.5732760926167196</v>
      </c>
      <c r="V105" s="75">
        <f t="shared" si="18"/>
        <v>0.005</v>
      </c>
    </row>
    <row r="106" spans="7:22" ht="12.75">
      <c r="G106" s="272"/>
      <c r="H106" s="269">
        <v>138</v>
      </c>
      <c r="I106" s="86" t="s">
        <v>77</v>
      </c>
      <c r="J106" s="269" t="str">
        <f>+'Input Data'!I37</f>
        <v>Insp_PLY</v>
      </c>
      <c r="K106" s="86"/>
      <c r="L106" s="269">
        <v>200</v>
      </c>
      <c r="M106" s="460">
        <v>0</v>
      </c>
      <c r="N106" s="262"/>
      <c r="O106" s="269">
        <v>0.903689236</v>
      </c>
      <c r="P106" s="85"/>
      <c r="Q106" s="75">
        <f t="shared" si="19"/>
        <v>0</v>
      </c>
      <c r="R106" s="22">
        <f t="shared" si="15"/>
        <v>0</v>
      </c>
      <c r="S106" s="22">
        <f t="shared" si="16"/>
        <v>0</v>
      </c>
      <c r="T106" s="71">
        <f>+'Input Data'!$J$37</f>
        <v>0.7</v>
      </c>
      <c r="U106" s="75">
        <f t="shared" si="17"/>
        <v>0.5730715049422344</v>
      </c>
      <c r="V106" s="75">
        <f t="shared" si="18"/>
        <v>0.005</v>
      </c>
    </row>
    <row r="107" spans="7:22" ht="12.75">
      <c r="G107" s="272"/>
      <c r="H107" s="269">
        <v>144</v>
      </c>
      <c r="I107" s="86" t="s">
        <v>77</v>
      </c>
      <c r="J107" s="269" t="str">
        <f>+'Input Data'!I37</f>
        <v>Insp_PLY</v>
      </c>
      <c r="K107" s="86"/>
      <c r="L107" s="269">
        <v>200</v>
      </c>
      <c r="M107" s="460">
        <v>0</v>
      </c>
      <c r="N107" s="262"/>
      <c r="O107" s="269">
        <v>0.903689236</v>
      </c>
      <c r="P107" s="85"/>
      <c r="Q107" s="75">
        <f t="shared" si="19"/>
        <v>0</v>
      </c>
      <c r="R107" s="22">
        <f t="shared" si="15"/>
        <v>0</v>
      </c>
      <c r="S107" s="22">
        <f t="shared" si="16"/>
        <v>0</v>
      </c>
      <c r="T107" s="71">
        <f>+'Input Data'!$J$37</f>
        <v>0.7</v>
      </c>
      <c r="U107" s="75">
        <f t="shared" si="17"/>
        <v>0.5728260961065886</v>
      </c>
      <c r="V107" s="75">
        <f t="shared" si="18"/>
        <v>0.005</v>
      </c>
    </row>
    <row r="108" spans="7:22" ht="12.75">
      <c r="G108" s="272"/>
      <c r="H108" s="269">
        <v>150</v>
      </c>
      <c r="I108" s="86" t="s">
        <v>77</v>
      </c>
      <c r="J108" s="269" t="str">
        <f>+'Input Data'!I37</f>
        <v>Insp_PLY</v>
      </c>
      <c r="K108" s="86"/>
      <c r="L108" s="269">
        <v>200</v>
      </c>
      <c r="M108" s="460">
        <v>0</v>
      </c>
      <c r="N108" s="262"/>
      <c r="O108" s="269">
        <v>0.903689236</v>
      </c>
      <c r="P108" s="85"/>
      <c r="Q108" s="75">
        <f t="shared" si="19"/>
        <v>0</v>
      </c>
      <c r="R108" s="22">
        <f t="shared" si="15"/>
        <v>0</v>
      </c>
      <c r="S108" s="22">
        <f t="shared" si="16"/>
        <v>0</v>
      </c>
      <c r="T108" s="71">
        <f>+'Input Data'!$J$37</f>
        <v>0.7</v>
      </c>
      <c r="U108" s="75">
        <f t="shared" si="17"/>
        <v>0.5725807923634073</v>
      </c>
      <c r="V108" s="75">
        <f t="shared" si="18"/>
        <v>0.005</v>
      </c>
    </row>
    <row r="109" spans="7:22" ht="12.75">
      <c r="G109" s="272"/>
      <c r="H109" s="269">
        <v>153</v>
      </c>
      <c r="I109" s="86" t="s">
        <v>77</v>
      </c>
      <c r="J109" s="269" t="str">
        <f>+'Input Data'!I37</f>
        <v>Insp_PLY</v>
      </c>
      <c r="K109" s="86"/>
      <c r="L109" s="269">
        <v>200</v>
      </c>
      <c r="M109" s="460">
        <v>0</v>
      </c>
      <c r="N109" s="262"/>
      <c r="O109" s="269">
        <v>0.903689236</v>
      </c>
      <c r="P109" s="85"/>
      <c r="Q109" s="75">
        <f t="shared" si="19"/>
        <v>0</v>
      </c>
      <c r="R109" s="22">
        <f t="shared" si="15"/>
        <v>0</v>
      </c>
      <c r="S109" s="22">
        <f t="shared" si="16"/>
        <v>0</v>
      </c>
      <c r="T109" s="71">
        <f>+'Input Data'!$J$37</f>
        <v>0.7</v>
      </c>
      <c r="U109" s="75">
        <f t="shared" si="17"/>
        <v>0.5724581798874261</v>
      </c>
      <c r="V109" s="75">
        <f t="shared" si="18"/>
        <v>0.005</v>
      </c>
    </row>
    <row r="110" spans="7:22" ht="12.75">
      <c r="G110" s="272"/>
      <c r="H110" s="269">
        <v>156</v>
      </c>
      <c r="I110" s="86" t="s">
        <v>77</v>
      </c>
      <c r="J110" s="269" t="str">
        <f>+'Input Data'!I37</f>
        <v>Insp_PLY</v>
      </c>
      <c r="K110" s="86"/>
      <c r="L110" s="269">
        <v>200</v>
      </c>
      <c r="M110" s="460">
        <v>0</v>
      </c>
      <c r="N110" s="262"/>
      <c r="O110" s="269">
        <v>0.903689236</v>
      </c>
      <c r="P110" s="85"/>
      <c r="Q110" s="75">
        <f t="shared" si="19"/>
        <v>0</v>
      </c>
      <c r="R110" s="22">
        <f t="shared" si="15"/>
        <v>0</v>
      </c>
      <c r="S110" s="22">
        <f t="shared" si="16"/>
        <v>0</v>
      </c>
      <c r="T110" s="71">
        <f>+'Input Data'!$J$37</f>
        <v>0.7</v>
      </c>
      <c r="U110" s="75">
        <f t="shared" si="17"/>
        <v>0.5723355936676858</v>
      </c>
      <c r="V110" s="75">
        <f t="shared" si="18"/>
        <v>0.005</v>
      </c>
    </row>
    <row r="111" spans="7:22" ht="12.75">
      <c r="G111" s="272"/>
      <c r="H111" s="269">
        <v>161</v>
      </c>
      <c r="I111" s="86" t="s">
        <v>77</v>
      </c>
      <c r="J111" s="269" t="str">
        <f>+'Input Data'!I37</f>
        <v>Insp_PLY</v>
      </c>
      <c r="K111" s="86"/>
      <c r="L111" s="269">
        <v>200</v>
      </c>
      <c r="M111" s="460">
        <v>0</v>
      </c>
      <c r="N111" s="262"/>
      <c r="O111" s="269">
        <v>0.903689236</v>
      </c>
      <c r="P111" s="85"/>
      <c r="Q111" s="75">
        <f t="shared" si="19"/>
        <v>0</v>
      </c>
      <c r="R111" s="22">
        <f t="shared" si="15"/>
        <v>0</v>
      </c>
      <c r="S111" s="22">
        <f t="shared" si="16"/>
        <v>0</v>
      </c>
      <c r="T111" s="71">
        <f>+'Input Data'!$J$37</f>
        <v>0.7</v>
      </c>
      <c r="U111" s="75">
        <f t="shared" si="17"/>
        <v>0.5721313416333839</v>
      </c>
      <c r="V111" s="75">
        <f t="shared" si="18"/>
        <v>0.005</v>
      </c>
    </row>
    <row r="112" spans="7:22" ht="12.75">
      <c r="G112" s="272"/>
      <c r="H112" s="269">
        <v>166</v>
      </c>
      <c r="I112" s="86" t="s">
        <v>77</v>
      </c>
      <c r="J112" s="269" t="str">
        <f>+'Input Data'!I37</f>
        <v>Insp_PLY</v>
      </c>
      <c r="K112" s="86"/>
      <c r="L112" s="269">
        <v>200</v>
      </c>
      <c r="M112" s="460">
        <v>0</v>
      </c>
      <c r="N112" s="262"/>
      <c r="O112" s="269">
        <v>0.903689236</v>
      </c>
      <c r="P112" s="85"/>
      <c r="Q112" s="75">
        <f t="shared" si="19"/>
        <v>0</v>
      </c>
      <c r="R112" s="22">
        <f t="shared" si="15"/>
        <v>0</v>
      </c>
      <c r="S112" s="22">
        <f t="shared" si="16"/>
        <v>0</v>
      </c>
      <c r="T112" s="71">
        <f>+'Input Data'!$J$37</f>
        <v>0.7</v>
      </c>
      <c r="U112" s="75">
        <f t="shared" si="17"/>
        <v>0.5719271624914443</v>
      </c>
      <c r="V112" s="75">
        <f t="shared" si="18"/>
        <v>0.005</v>
      </c>
    </row>
    <row r="113" spans="7:22" ht="12.75">
      <c r="G113" s="272"/>
      <c r="H113" s="269">
        <v>171</v>
      </c>
      <c r="I113" s="86" t="s">
        <v>77</v>
      </c>
      <c r="J113" s="269" t="str">
        <f>+'Input Data'!I37</f>
        <v>Insp_PLY</v>
      </c>
      <c r="K113" s="86"/>
      <c r="L113" s="269">
        <v>200</v>
      </c>
      <c r="M113" s="460">
        <v>0</v>
      </c>
      <c r="N113" s="262"/>
      <c r="O113" s="269">
        <v>0.903689236</v>
      </c>
      <c r="P113" s="85"/>
      <c r="Q113" s="75">
        <f t="shared" si="19"/>
        <v>0</v>
      </c>
      <c r="R113" s="22">
        <f t="shared" si="15"/>
        <v>0</v>
      </c>
      <c r="S113" s="22">
        <f t="shared" si="16"/>
        <v>0</v>
      </c>
      <c r="T113" s="71">
        <f>+'Input Data'!$J$37</f>
        <v>0.7</v>
      </c>
      <c r="U113" s="75">
        <f t="shared" si="17"/>
        <v>0.5717230562158536</v>
      </c>
      <c r="V113" s="75">
        <f t="shared" si="18"/>
        <v>0.005</v>
      </c>
    </row>
    <row r="114" spans="7:22" ht="12.75">
      <c r="G114" s="272"/>
      <c r="H114" s="269">
        <v>177</v>
      </c>
      <c r="I114" s="86" t="s">
        <v>77</v>
      </c>
      <c r="J114" s="269" t="str">
        <f>+'Input Data'!I37</f>
        <v>Insp_PLY</v>
      </c>
      <c r="K114" s="86"/>
      <c r="L114" s="269">
        <v>200</v>
      </c>
      <c r="M114" s="460">
        <v>0</v>
      </c>
      <c r="N114" s="262"/>
      <c r="O114" s="269">
        <v>0.903689236</v>
      </c>
      <c r="P114" s="85"/>
      <c r="Q114" s="75">
        <f t="shared" si="19"/>
        <v>0</v>
      </c>
      <c r="R114" s="22">
        <f t="shared" si="15"/>
        <v>0</v>
      </c>
      <c r="S114" s="22">
        <f t="shared" si="16"/>
        <v>0</v>
      </c>
      <c r="T114" s="71">
        <f>+'Input Data'!$J$37</f>
        <v>0.7</v>
      </c>
      <c r="U114" s="75">
        <f t="shared" si="17"/>
        <v>0.5714782248321124</v>
      </c>
      <c r="V114" s="75">
        <f t="shared" si="18"/>
        <v>0.005</v>
      </c>
    </row>
    <row r="115" spans="7:22" ht="12.75">
      <c r="G115" s="272"/>
      <c r="H115" s="269">
        <v>183</v>
      </c>
      <c r="I115" s="86" t="s">
        <v>77</v>
      </c>
      <c r="J115" s="269" t="str">
        <f>+'Input Data'!I37</f>
        <v>Insp_PLY</v>
      </c>
      <c r="K115" s="86"/>
      <c r="L115" s="269">
        <v>200</v>
      </c>
      <c r="M115" s="460">
        <v>0</v>
      </c>
      <c r="N115" s="262"/>
      <c r="O115" s="269">
        <v>0.903689236</v>
      </c>
      <c r="P115" s="85"/>
      <c r="Q115" s="75">
        <f t="shared" si="19"/>
        <v>0</v>
      </c>
      <c r="R115" s="22">
        <f t="shared" si="15"/>
        <v>0</v>
      </c>
      <c r="S115" s="22">
        <f t="shared" si="16"/>
        <v>0</v>
      </c>
      <c r="T115" s="71">
        <f>+'Input Data'!$J$37</f>
        <v>0.7</v>
      </c>
      <c r="U115" s="75">
        <f t="shared" si="17"/>
        <v>0.5712334982935506</v>
      </c>
      <c r="V115" s="75">
        <f t="shared" si="18"/>
        <v>0.005</v>
      </c>
    </row>
    <row r="116" spans="7:22" ht="12.75">
      <c r="G116" s="272"/>
      <c r="H116" s="269">
        <v>186</v>
      </c>
      <c r="I116" s="86" t="s">
        <v>77</v>
      </c>
      <c r="J116" s="269" t="str">
        <f>+'Input Data'!I37</f>
        <v>Insp_PLY</v>
      </c>
      <c r="K116" s="86"/>
      <c r="L116" s="269">
        <v>200</v>
      </c>
      <c r="M116" s="460">
        <v>0</v>
      </c>
      <c r="N116" s="262"/>
      <c r="O116" s="269">
        <v>0.903689236</v>
      </c>
      <c r="P116" s="85"/>
      <c r="Q116" s="75">
        <f t="shared" si="19"/>
        <v>0</v>
      </c>
      <c r="R116" s="22">
        <f t="shared" si="15"/>
        <v>0</v>
      </c>
      <c r="S116" s="22">
        <f t="shared" si="16"/>
        <v>0</v>
      </c>
      <c r="T116" s="71">
        <f>+'Input Data'!$J$37</f>
        <v>0.7</v>
      </c>
      <c r="U116" s="75">
        <f t="shared" si="17"/>
        <v>0.5711111743271806</v>
      </c>
      <c r="V116" s="75">
        <f t="shared" si="18"/>
        <v>0.005</v>
      </c>
    </row>
    <row r="117" spans="7:22" ht="12.75">
      <c r="G117" s="272"/>
      <c r="H117" s="269">
        <v>189</v>
      </c>
      <c r="I117" s="86" t="s">
        <v>77</v>
      </c>
      <c r="J117" s="269" t="str">
        <f>+'Input Data'!I37</f>
        <v>Insp_PLY</v>
      </c>
      <c r="K117" s="86"/>
      <c r="L117" s="269">
        <v>200</v>
      </c>
      <c r="M117" s="460">
        <v>0</v>
      </c>
      <c r="N117" s="262"/>
      <c r="O117" s="269">
        <v>0.903689236</v>
      </c>
      <c r="P117" s="85"/>
      <c r="Q117" s="75">
        <f t="shared" si="19"/>
        <v>0</v>
      </c>
      <c r="R117" s="22">
        <f t="shared" si="15"/>
        <v>0</v>
      </c>
      <c r="S117" s="22">
        <f t="shared" si="16"/>
        <v>0</v>
      </c>
      <c r="T117" s="71">
        <f>+'Input Data'!$J$37</f>
        <v>0.7</v>
      </c>
      <c r="U117" s="75">
        <f t="shared" si="17"/>
        <v>0.5709888765552702</v>
      </c>
      <c r="V117" s="75">
        <f t="shared" si="18"/>
        <v>0.005</v>
      </c>
    </row>
    <row r="118" spans="7:22" ht="12.75">
      <c r="G118" s="272"/>
      <c r="H118" s="269">
        <v>194</v>
      </c>
      <c r="I118" s="86" t="s">
        <v>77</v>
      </c>
      <c r="J118" s="269" t="str">
        <f>+'Input Data'!I37</f>
        <v>Insp_PLY</v>
      </c>
      <c r="K118" s="86"/>
      <c r="L118" s="269">
        <v>200</v>
      </c>
      <c r="M118" s="460">
        <v>0</v>
      </c>
      <c r="N118" s="262"/>
      <c r="O118" s="269">
        <v>0.903689236</v>
      </c>
      <c r="P118" s="85"/>
      <c r="Q118" s="75">
        <f t="shared" si="19"/>
        <v>0</v>
      </c>
      <c r="R118" s="22">
        <f t="shared" si="15"/>
        <v>0</v>
      </c>
      <c r="S118" s="22">
        <f t="shared" si="16"/>
        <v>0</v>
      </c>
      <c r="T118" s="71">
        <f>+'Input Data'!$J$37</f>
        <v>0.7</v>
      </c>
      <c r="U118" s="75">
        <f t="shared" si="17"/>
        <v>0.570785105130095</v>
      </c>
      <c r="V118" s="75">
        <f t="shared" si="18"/>
        <v>0.005</v>
      </c>
    </row>
    <row r="119" spans="7:22" ht="12.75">
      <c r="G119" s="272"/>
      <c r="H119" s="269">
        <v>199</v>
      </c>
      <c r="I119" s="86" t="s">
        <v>77</v>
      </c>
      <c r="J119" s="269" t="str">
        <f>+'Input Data'!I37</f>
        <v>Insp_PLY</v>
      </c>
      <c r="K119" s="86"/>
      <c r="L119" s="269">
        <v>200</v>
      </c>
      <c r="M119" s="460">
        <v>0</v>
      </c>
      <c r="N119" s="262"/>
      <c r="O119" s="269">
        <v>0.903689236</v>
      </c>
      <c r="P119" s="85"/>
      <c r="Q119" s="75">
        <f t="shared" si="19"/>
        <v>0</v>
      </c>
      <c r="R119" s="22">
        <f t="shared" si="15"/>
        <v>0</v>
      </c>
      <c r="S119" s="22">
        <f t="shared" si="16"/>
        <v>0</v>
      </c>
      <c r="T119" s="71">
        <f>+'Input Data'!$J$37</f>
        <v>0.7</v>
      </c>
      <c r="U119" s="75">
        <f t="shared" si="17"/>
        <v>0.5705814064257647</v>
      </c>
      <c r="V119" s="75">
        <f t="shared" si="18"/>
        <v>0.005</v>
      </c>
    </row>
    <row r="120" spans="7:22" ht="12.75">
      <c r="G120" s="272"/>
      <c r="H120" s="269">
        <v>204</v>
      </c>
      <c r="I120" s="86" t="s">
        <v>77</v>
      </c>
      <c r="J120" s="269" t="str">
        <f>+'Input Data'!I37</f>
        <v>Insp_PLY</v>
      </c>
      <c r="K120" s="86"/>
      <c r="L120" s="269">
        <v>200</v>
      </c>
      <c r="M120" s="460">
        <v>0</v>
      </c>
      <c r="N120" s="262"/>
      <c r="O120" s="269">
        <v>0.903689236</v>
      </c>
      <c r="P120" s="85"/>
      <c r="Q120" s="75">
        <f t="shared" si="19"/>
        <v>0</v>
      </c>
      <c r="R120" s="22">
        <f t="shared" si="15"/>
        <v>0</v>
      </c>
      <c r="S120" s="22">
        <f t="shared" si="16"/>
        <v>0</v>
      </c>
      <c r="T120" s="71">
        <f>+'Input Data'!$J$37</f>
        <v>0.7</v>
      </c>
      <c r="U120" s="75">
        <f t="shared" si="17"/>
        <v>0.5703777804163277</v>
      </c>
      <c r="V120" s="75">
        <f t="shared" si="18"/>
        <v>0.005</v>
      </c>
    </row>
    <row r="121" spans="7:22" ht="12.75">
      <c r="G121" s="272"/>
      <c r="H121" s="269">
        <v>210</v>
      </c>
      <c r="I121" s="86" t="s">
        <v>77</v>
      </c>
      <c r="J121" s="269" t="str">
        <f>+'Input Data'!I37</f>
        <v>Insp_PLY</v>
      </c>
      <c r="K121" s="86"/>
      <c r="L121" s="269">
        <v>200</v>
      </c>
      <c r="M121" s="460">
        <v>0</v>
      </c>
      <c r="N121" s="262"/>
      <c r="O121" s="269">
        <v>0.903689236</v>
      </c>
      <c r="P121" s="85"/>
      <c r="Q121" s="75">
        <f t="shared" si="19"/>
        <v>0</v>
      </c>
      <c r="R121" s="22">
        <f t="shared" si="15"/>
        <v>0</v>
      </c>
      <c r="S121" s="22">
        <f t="shared" si="16"/>
        <v>0</v>
      </c>
      <c r="T121" s="71">
        <f>+'Input Data'!$J$37</f>
        <v>0.7</v>
      </c>
      <c r="U121" s="75">
        <f t="shared" si="17"/>
        <v>0.570133525125735</v>
      </c>
      <c r="V121" s="75">
        <f t="shared" si="18"/>
        <v>0.005</v>
      </c>
    </row>
    <row r="122" spans="7:22" ht="12.75">
      <c r="G122" s="272"/>
      <c r="H122" s="269">
        <v>216</v>
      </c>
      <c r="I122" s="86" t="s">
        <v>77</v>
      </c>
      <c r="J122" s="269" t="str">
        <f>+'Input Data'!I37</f>
        <v>Insp_PLY</v>
      </c>
      <c r="K122" s="86"/>
      <c r="L122" s="269">
        <v>200</v>
      </c>
      <c r="M122" s="460">
        <v>0</v>
      </c>
      <c r="N122" s="262"/>
      <c r="O122" s="269">
        <v>0.903689236</v>
      </c>
      <c r="P122" s="85"/>
      <c r="Q122" s="75">
        <f t="shared" si="19"/>
        <v>0</v>
      </c>
      <c r="R122" s="22">
        <f t="shared" si="15"/>
        <v>0</v>
      </c>
      <c r="S122" s="22">
        <f t="shared" si="16"/>
        <v>0</v>
      </c>
      <c r="T122" s="71">
        <f>+'Input Data'!$J$37</f>
        <v>0.7</v>
      </c>
      <c r="U122" s="75">
        <f t="shared" si="17"/>
        <v>0.569889374433619</v>
      </c>
      <c r="V122" s="75">
        <f t="shared" si="18"/>
        <v>0.005</v>
      </c>
    </row>
    <row r="123" spans="7:22" ht="12.75">
      <c r="G123" s="272"/>
      <c r="H123" s="269">
        <v>219</v>
      </c>
      <c r="I123" s="86" t="s">
        <v>77</v>
      </c>
      <c r="J123" s="269" t="str">
        <f>+'Input Data'!I37</f>
        <v>Insp_PLY</v>
      </c>
      <c r="K123" s="86"/>
      <c r="L123" s="269">
        <v>200</v>
      </c>
      <c r="M123" s="460">
        <v>0</v>
      </c>
      <c r="N123" s="262"/>
      <c r="O123" s="269">
        <v>0.903689236</v>
      </c>
      <c r="P123" s="85"/>
      <c r="Q123" s="75">
        <f t="shared" si="19"/>
        <v>0</v>
      </c>
      <c r="R123" s="22">
        <f t="shared" si="15"/>
        <v>0</v>
      </c>
      <c r="S123" s="22">
        <f t="shared" si="16"/>
        <v>0</v>
      </c>
      <c r="T123" s="71">
        <f>+'Input Data'!$J$37</f>
        <v>0.7</v>
      </c>
      <c r="U123" s="75">
        <f t="shared" si="17"/>
        <v>0.5697673382979912</v>
      </c>
      <c r="V123" s="75">
        <f t="shared" si="18"/>
        <v>0.005</v>
      </c>
    </row>
    <row r="124" spans="7:22" ht="12.75">
      <c r="G124" s="272"/>
      <c r="H124" s="269">
        <v>222</v>
      </c>
      <c r="I124" s="86" t="s">
        <v>77</v>
      </c>
      <c r="J124" s="269" t="str">
        <f>+'Input Data'!I37</f>
        <v>Insp_PLY</v>
      </c>
      <c r="K124" s="86"/>
      <c r="L124" s="269">
        <v>200</v>
      </c>
      <c r="M124" s="460">
        <v>0</v>
      </c>
      <c r="N124" s="262"/>
      <c r="O124" s="269">
        <v>0.903689236</v>
      </c>
      <c r="P124" s="85"/>
      <c r="Q124" s="75">
        <f t="shared" si="19"/>
        <v>0</v>
      </c>
      <c r="R124" s="22">
        <f t="shared" si="15"/>
        <v>0</v>
      </c>
      <c r="S124" s="22">
        <f t="shared" si="16"/>
        <v>0</v>
      </c>
      <c r="T124" s="71">
        <f>+'Input Data'!$J$37</f>
        <v>0.7</v>
      </c>
      <c r="U124" s="75">
        <f t="shared" si="17"/>
        <v>0.5696453282951869</v>
      </c>
      <c r="V124" s="75">
        <f t="shared" si="18"/>
        <v>0.005</v>
      </c>
    </row>
    <row r="125" spans="7:22" ht="12.75">
      <c r="G125" s="272"/>
      <c r="H125" s="269">
        <v>227</v>
      </c>
      <c r="I125" s="86" t="s">
        <v>77</v>
      </c>
      <c r="J125" s="269" t="str">
        <f>+'Input Data'!I37</f>
        <v>Insp_PLY</v>
      </c>
      <c r="K125" s="86"/>
      <c r="L125" s="269">
        <v>200</v>
      </c>
      <c r="M125" s="460">
        <v>0</v>
      </c>
      <c r="N125" s="262"/>
      <c r="O125" s="269">
        <v>0.903689236</v>
      </c>
      <c r="P125" s="85"/>
      <c r="Q125" s="75">
        <f t="shared" si="19"/>
        <v>0</v>
      </c>
      <c r="R125" s="22">
        <f t="shared" si="15"/>
        <v>0</v>
      </c>
      <c r="S125" s="22">
        <f t="shared" si="16"/>
        <v>0</v>
      </c>
      <c r="T125" s="71">
        <f>+'Input Data'!$J$37</f>
        <v>0.7</v>
      </c>
      <c r="U125" s="75">
        <f t="shared" si="17"/>
        <v>0.5694420363482554</v>
      </c>
      <c r="V125" s="75">
        <f t="shared" si="18"/>
        <v>0.005</v>
      </c>
    </row>
    <row r="126" spans="7:22" ht="12.75">
      <c r="G126" s="272"/>
      <c r="H126" s="269">
        <v>232</v>
      </c>
      <c r="I126" s="86" t="s">
        <v>77</v>
      </c>
      <c r="J126" s="269" t="str">
        <f>+'Input Data'!I37</f>
        <v>Insp_PLY</v>
      </c>
      <c r="K126" s="86"/>
      <c r="L126" s="269">
        <v>200</v>
      </c>
      <c r="M126" s="460">
        <v>0</v>
      </c>
      <c r="N126" s="262"/>
      <c r="O126" s="269">
        <v>0.903689236</v>
      </c>
      <c r="P126" s="85"/>
      <c r="Q126" s="75">
        <f t="shared" si="19"/>
        <v>0</v>
      </c>
      <c r="R126" s="22">
        <f t="shared" si="15"/>
        <v>0</v>
      </c>
      <c r="S126" s="22">
        <f t="shared" si="16"/>
        <v>0</v>
      </c>
      <c r="T126" s="71">
        <f>+'Input Data'!$J$37</f>
        <v>0.7</v>
      </c>
      <c r="U126" s="75">
        <f t="shared" si="17"/>
        <v>0.5692388169510555</v>
      </c>
      <c r="V126" s="75">
        <f t="shared" si="18"/>
        <v>0.005</v>
      </c>
    </row>
    <row r="127" spans="7:22" ht="12.75">
      <c r="G127" s="272"/>
      <c r="H127" s="269">
        <v>236</v>
      </c>
      <c r="I127" s="86" t="s">
        <v>77</v>
      </c>
      <c r="J127" s="269" t="str">
        <f>+'Input Data'!I37</f>
        <v>Insp_PLY</v>
      </c>
      <c r="K127" s="86"/>
      <c r="L127" s="269">
        <v>200</v>
      </c>
      <c r="M127" s="460">
        <v>0</v>
      </c>
      <c r="N127" s="262"/>
      <c r="O127" s="269">
        <v>0.903689236</v>
      </c>
      <c r="P127" s="85"/>
      <c r="Q127" s="75">
        <f t="shared" si="19"/>
        <v>0</v>
      </c>
      <c r="R127" s="22">
        <f t="shared" si="15"/>
        <v>0</v>
      </c>
      <c r="S127" s="22">
        <f t="shared" si="16"/>
        <v>0</v>
      </c>
      <c r="T127" s="71">
        <f>+'Input Data'!$J$37</f>
        <v>0.7</v>
      </c>
      <c r="U127" s="75">
        <f t="shared" si="17"/>
        <v>0.5690762936517031</v>
      </c>
      <c r="V127" s="75">
        <f t="shared" si="18"/>
        <v>0.005</v>
      </c>
    </row>
    <row r="128" spans="7:22" ht="12.75">
      <c r="G128" s="272"/>
      <c r="H128" s="269">
        <v>241</v>
      </c>
      <c r="I128" s="86" t="s">
        <v>77</v>
      </c>
      <c r="J128" s="269" t="str">
        <f>+'Input Data'!I37</f>
        <v>Insp_PLY</v>
      </c>
      <c r="K128" s="86"/>
      <c r="L128" s="269">
        <v>200</v>
      </c>
      <c r="M128" s="460">
        <v>0</v>
      </c>
      <c r="N128" s="262"/>
      <c r="O128" s="269">
        <v>0.903689236</v>
      </c>
      <c r="P128" s="85"/>
      <c r="Q128" s="75">
        <f t="shared" si="19"/>
        <v>0</v>
      </c>
      <c r="R128" s="22">
        <f t="shared" si="15"/>
        <v>0</v>
      </c>
      <c r="S128" s="22">
        <f t="shared" si="16"/>
        <v>0</v>
      </c>
      <c r="T128" s="71">
        <f>+'Input Data'!$J$37</f>
        <v>0.7</v>
      </c>
      <c r="U128" s="75">
        <f t="shared" si="17"/>
        <v>0.5688732047787807</v>
      </c>
      <c r="V128" s="75">
        <f t="shared" si="18"/>
        <v>0.005</v>
      </c>
    </row>
    <row r="129" spans="7:22" ht="12.75">
      <c r="G129" s="272"/>
      <c r="H129" s="269">
        <v>247</v>
      </c>
      <c r="I129" s="86" t="s">
        <v>77</v>
      </c>
      <c r="J129" s="269" t="str">
        <f>+'Input Data'!I37</f>
        <v>Insp_PLY</v>
      </c>
      <c r="K129" s="86"/>
      <c r="L129" s="269">
        <v>200</v>
      </c>
      <c r="M129" s="460">
        <v>0</v>
      </c>
      <c r="N129" s="262"/>
      <c r="O129" s="269">
        <v>0.903689236</v>
      </c>
      <c r="P129" s="85"/>
      <c r="Q129" s="75">
        <f t="shared" si="19"/>
        <v>0</v>
      </c>
      <c r="R129" s="22">
        <f t="shared" si="15"/>
        <v>0</v>
      </c>
      <c r="S129" s="22">
        <f t="shared" si="16"/>
        <v>0</v>
      </c>
      <c r="T129" s="71">
        <f>+'Input Data'!$J$37</f>
        <v>0.7</v>
      </c>
      <c r="U129" s="75">
        <f t="shared" si="17"/>
        <v>0.5686295937989801</v>
      </c>
      <c r="V129" s="75">
        <f t="shared" si="18"/>
        <v>0.005</v>
      </c>
    </row>
    <row r="130" spans="7:22" ht="12.75">
      <c r="G130" s="272"/>
      <c r="H130" s="269">
        <v>250</v>
      </c>
      <c r="I130" s="86" t="s">
        <v>77</v>
      </c>
      <c r="J130" s="269" t="str">
        <f>+'Input Data'!I37</f>
        <v>Insp_PLY</v>
      </c>
      <c r="K130" s="86"/>
      <c r="L130" s="269">
        <v>200</v>
      </c>
      <c r="M130" s="460">
        <v>0</v>
      </c>
      <c r="N130" s="262"/>
      <c r="O130" s="269">
        <v>0.903689236</v>
      </c>
      <c r="P130" s="85"/>
      <c r="Q130" s="75">
        <f t="shared" si="19"/>
        <v>0</v>
      </c>
      <c r="R130" s="22">
        <f aca="true" t="shared" si="20" ref="R130:R193">+WS*LY^(($H130-1)/$B$24)*M130</f>
        <v>0</v>
      </c>
      <c r="S130" s="22">
        <f aca="true" t="shared" si="21" ref="S130:S193">+WS*LY^(($H130-1)/$B$24)*N130</f>
        <v>0</v>
      </c>
      <c r="T130" s="71">
        <f>+'Input Data'!$J$37</f>
        <v>0.7</v>
      </c>
      <c r="U130" s="75">
        <f aca="true" t="shared" si="22" ref="U130:U193">+WS*(LY^((+H130-1)/$B$24))*(1/L130)/(1-T130)/720</f>
        <v>0.5685078274328328</v>
      </c>
      <c r="V130" s="75">
        <f t="shared" si="18"/>
        <v>0.005</v>
      </c>
    </row>
    <row r="131" spans="7:22" ht="12.75">
      <c r="G131" s="272"/>
      <c r="H131" s="269">
        <v>253</v>
      </c>
      <c r="I131" s="86" t="s">
        <v>77</v>
      </c>
      <c r="J131" s="269" t="str">
        <f>+'Input Data'!I37</f>
        <v>Insp_PLY</v>
      </c>
      <c r="K131" s="86"/>
      <c r="L131" s="269">
        <v>200</v>
      </c>
      <c r="M131" s="460">
        <v>0</v>
      </c>
      <c r="N131" s="262"/>
      <c r="O131" s="269">
        <v>0.903689236</v>
      </c>
      <c r="P131" s="85"/>
      <c r="Q131" s="75">
        <f t="shared" si="19"/>
        <v>0</v>
      </c>
      <c r="R131" s="22">
        <f t="shared" si="20"/>
        <v>0</v>
      </c>
      <c r="S131" s="22">
        <f t="shared" si="21"/>
        <v>0</v>
      </c>
      <c r="T131" s="71">
        <f>+'Input Data'!$J$37</f>
        <v>0.7</v>
      </c>
      <c r="U131" s="75">
        <f t="shared" si="22"/>
        <v>0.5683860871417404</v>
      </c>
      <c r="V131" s="75">
        <f t="shared" si="18"/>
        <v>0.005</v>
      </c>
    </row>
    <row r="132" spans="7:22" ht="12.75">
      <c r="G132" s="272"/>
      <c r="H132" s="269">
        <v>258</v>
      </c>
      <c r="I132" s="86" t="s">
        <v>77</v>
      </c>
      <c r="J132" s="269" t="str">
        <f>+'Input Data'!I37</f>
        <v>Insp_PLY</v>
      </c>
      <c r="K132" s="86"/>
      <c r="L132" s="269">
        <v>200</v>
      </c>
      <c r="M132" s="460">
        <v>0</v>
      </c>
      <c r="N132" s="262"/>
      <c r="O132" s="269">
        <v>0.903689236</v>
      </c>
      <c r="P132" s="85"/>
      <c r="Q132" s="75">
        <f t="shared" si="19"/>
        <v>0</v>
      </c>
      <c r="R132" s="22">
        <f t="shared" si="20"/>
        <v>0</v>
      </c>
      <c r="S132" s="22">
        <f t="shared" si="21"/>
        <v>0</v>
      </c>
      <c r="T132" s="71">
        <f>+'Input Data'!$J$37</f>
        <v>0.7</v>
      </c>
      <c r="U132" s="75">
        <f t="shared" si="22"/>
        <v>0.568183244585988</v>
      </c>
      <c r="V132" s="75">
        <f aca="true" t="shared" si="23" ref="V132:V195">1/L132</f>
        <v>0.005</v>
      </c>
    </row>
    <row r="133" spans="7:22" ht="12.75">
      <c r="G133" s="272"/>
      <c r="H133" s="269">
        <v>263</v>
      </c>
      <c r="I133" s="86" t="s">
        <v>77</v>
      </c>
      <c r="J133" s="269" t="str">
        <f>+'Input Data'!I37</f>
        <v>Insp_PLY</v>
      </c>
      <c r="K133" s="86"/>
      <c r="L133" s="269">
        <v>200</v>
      </c>
      <c r="M133" s="460">
        <v>0</v>
      </c>
      <c r="N133" s="262"/>
      <c r="O133" s="269">
        <v>0.903689236</v>
      </c>
      <c r="P133" s="85"/>
      <c r="Q133" s="75">
        <f t="shared" si="19"/>
        <v>0</v>
      </c>
      <c r="R133" s="22">
        <f t="shared" si="20"/>
        <v>0</v>
      </c>
      <c r="S133" s="22">
        <f t="shared" si="21"/>
        <v>0</v>
      </c>
      <c r="T133" s="71">
        <f>+'Input Data'!$J$37</f>
        <v>0.7</v>
      </c>
      <c r="U133" s="75">
        <f t="shared" si="22"/>
        <v>0.5679804744195908</v>
      </c>
      <c r="V133" s="75">
        <f t="shared" si="23"/>
        <v>0.005</v>
      </c>
    </row>
    <row r="134" spans="7:22" ht="12.75">
      <c r="G134" s="272"/>
      <c r="H134" s="269">
        <v>267</v>
      </c>
      <c r="I134" s="86" t="s">
        <v>77</v>
      </c>
      <c r="J134" s="269" t="str">
        <f>+'Input Data'!I37</f>
        <v>Insp_PLY</v>
      </c>
      <c r="K134" s="86"/>
      <c r="L134" s="269">
        <v>200</v>
      </c>
      <c r="M134" s="460">
        <v>0</v>
      </c>
      <c r="N134" s="262"/>
      <c r="O134" s="269">
        <v>0.903689236</v>
      </c>
      <c r="P134" s="85"/>
      <c r="Q134" s="75">
        <f t="shared" si="19"/>
        <v>0</v>
      </c>
      <c r="R134" s="22">
        <f t="shared" si="20"/>
        <v>0</v>
      </c>
      <c r="S134" s="22">
        <f t="shared" si="21"/>
        <v>0</v>
      </c>
      <c r="T134" s="71">
        <f>+'Input Data'!$J$37</f>
        <v>0.7</v>
      </c>
      <c r="U134" s="75">
        <f t="shared" si="22"/>
        <v>0.5678183103894483</v>
      </c>
      <c r="V134" s="75">
        <f t="shared" si="23"/>
        <v>0.005</v>
      </c>
    </row>
    <row r="135" spans="7:22" ht="12.75">
      <c r="G135" s="272"/>
      <c r="H135" s="269">
        <v>272</v>
      </c>
      <c r="I135" s="86" t="s">
        <v>77</v>
      </c>
      <c r="J135" s="269" t="str">
        <f>+'Input Data'!I37</f>
        <v>Insp_PLY</v>
      </c>
      <c r="K135" s="86"/>
      <c r="L135" s="269">
        <v>200</v>
      </c>
      <c r="M135" s="460">
        <v>0</v>
      </c>
      <c r="N135" s="262"/>
      <c r="O135" s="269">
        <v>0.903689236</v>
      </c>
      <c r="P135" s="85"/>
      <c r="Q135" s="75">
        <f t="shared" si="19"/>
        <v>0</v>
      </c>
      <c r="R135" s="22">
        <f t="shared" si="20"/>
        <v>0</v>
      </c>
      <c r="S135" s="22">
        <f t="shared" si="21"/>
        <v>0</v>
      </c>
      <c r="T135" s="71">
        <f>+'Input Data'!$J$37</f>
        <v>0.7</v>
      </c>
      <c r="U135" s="75">
        <f t="shared" si="22"/>
        <v>0.5676156704587954</v>
      </c>
      <c r="V135" s="75">
        <f t="shared" si="23"/>
        <v>0.005</v>
      </c>
    </row>
    <row r="136" spans="7:22" ht="12.75">
      <c r="G136" s="272"/>
      <c r="H136" s="269">
        <v>57</v>
      </c>
      <c r="I136" s="86" t="s">
        <v>78</v>
      </c>
      <c r="J136" s="269" t="str">
        <f>+'Input Data'!I38</f>
        <v>Insp_Visual</v>
      </c>
      <c r="K136" s="86"/>
      <c r="L136" s="269">
        <v>200</v>
      </c>
      <c r="M136" s="460">
        <v>0</v>
      </c>
      <c r="N136" s="262"/>
      <c r="O136" s="269">
        <v>0.695802469</v>
      </c>
      <c r="P136" s="85"/>
      <c r="Q136" s="75">
        <f t="shared" si="19"/>
        <v>0</v>
      </c>
      <c r="R136" s="22">
        <f t="shared" si="20"/>
        <v>0</v>
      </c>
      <c r="S136" s="22">
        <f t="shared" si="21"/>
        <v>0</v>
      </c>
      <c r="T136" s="71">
        <f>+'Input Data'!$J$38</f>
        <v>0.65</v>
      </c>
      <c r="U136" s="75">
        <f t="shared" si="22"/>
        <v>0.49405271395431544</v>
      </c>
      <c r="V136" s="75">
        <f t="shared" si="23"/>
        <v>0.005</v>
      </c>
    </row>
    <row r="137" spans="7:22" ht="12.75">
      <c r="G137" s="272"/>
      <c r="H137" s="269">
        <v>109</v>
      </c>
      <c r="I137" s="86" t="s">
        <v>78</v>
      </c>
      <c r="J137" s="269" t="str">
        <f>+'Input Data'!I38</f>
        <v>Insp_Visual</v>
      </c>
      <c r="K137" s="86"/>
      <c r="L137" s="269">
        <v>200</v>
      </c>
      <c r="M137" s="460">
        <v>0</v>
      </c>
      <c r="N137" s="262"/>
      <c r="O137" s="269">
        <v>0.695802469</v>
      </c>
      <c r="P137" s="85"/>
      <c r="Q137" s="75">
        <f t="shared" si="19"/>
        <v>0</v>
      </c>
      <c r="R137" s="22">
        <f t="shared" si="20"/>
        <v>0</v>
      </c>
      <c r="S137" s="22">
        <f t="shared" si="21"/>
        <v>0</v>
      </c>
      <c r="T137" s="71">
        <f>+'Input Data'!$J$38</f>
        <v>0.65</v>
      </c>
      <c r="U137" s="75">
        <f t="shared" si="22"/>
        <v>0.49222211194799065</v>
      </c>
      <c r="V137" s="75">
        <f t="shared" si="23"/>
        <v>0.005</v>
      </c>
    </row>
    <row r="138" spans="7:22" ht="12.75">
      <c r="G138" s="272"/>
      <c r="H138" s="269">
        <v>51</v>
      </c>
      <c r="I138" s="86" t="s">
        <v>79</v>
      </c>
      <c r="J138" s="269" t="str">
        <f>+'Input Data'!I39</f>
        <v>Litho_248</v>
      </c>
      <c r="K138" s="86" t="str">
        <f>+'Input Data'!A18</f>
        <v>248C_Mask</v>
      </c>
      <c r="L138" s="269">
        <v>25</v>
      </c>
      <c r="M138" s="460">
        <v>3.5</v>
      </c>
      <c r="N138" s="262">
        <v>2.25</v>
      </c>
      <c r="O138" s="269">
        <v>11.08736111</v>
      </c>
      <c r="P138" s="85">
        <f>+'Input Data'!$B$18/'Input Data'!$C$18</f>
        <v>2</v>
      </c>
      <c r="Q138" s="75">
        <f t="shared" si="19"/>
        <v>49821.848987819685</v>
      </c>
      <c r="R138" s="22">
        <f t="shared" si="20"/>
        <v>87188.23572868445</v>
      </c>
      <c r="S138" s="22">
        <f t="shared" si="21"/>
        <v>56049.580111297146</v>
      </c>
      <c r="T138" s="71">
        <f>+'Input Data'!$J$39</f>
        <v>0.19999999999999996</v>
      </c>
      <c r="U138" s="75">
        <f t="shared" si="22"/>
        <v>1.7299253120770723</v>
      </c>
      <c r="V138" s="75">
        <f t="shared" si="23"/>
        <v>0.04</v>
      </c>
    </row>
    <row r="139" spans="7:22" ht="12.75">
      <c r="G139" s="272"/>
      <c r="H139" s="269">
        <v>122</v>
      </c>
      <c r="I139" s="86" t="s">
        <v>81</v>
      </c>
      <c r="J139" s="269" t="str">
        <f>+'Input Data'!I39</f>
        <v>Litho_248</v>
      </c>
      <c r="K139" s="86" t="str">
        <f>+'Input Data'!A17</f>
        <v>248_Mask</v>
      </c>
      <c r="L139" s="269">
        <v>25</v>
      </c>
      <c r="M139" s="460">
        <v>3.5</v>
      </c>
      <c r="N139" s="262">
        <v>2.25</v>
      </c>
      <c r="O139" s="269">
        <v>11.08736111</v>
      </c>
      <c r="P139" s="85">
        <f>+'Input Data'!$B$17/'Input Data'!$C$17</f>
        <v>0.625</v>
      </c>
      <c r="Q139" s="75">
        <f t="shared" si="19"/>
        <v>15490.613951058556</v>
      </c>
      <c r="R139" s="22">
        <f t="shared" si="20"/>
        <v>86747.43812592792</v>
      </c>
      <c r="S139" s="22">
        <f t="shared" si="21"/>
        <v>55766.2102238108</v>
      </c>
      <c r="T139" s="71">
        <f>+'Input Data'!$J$39</f>
        <v>0.19999999999999996</v>
      </c>
      <c r="U139" s="75">
        <f t="shared" si="22"/>
        <v>1.721179327895395</v>
      </c>
      <c r="V139" s="75">
        <f t="shared" si="23"/>
        <v>0.04</v>
      </c>
    </row>
    <row r="140" spans="7:22" ht="12.75">
      <c r="G140" s="272"/>
      <c r="H140" s="269">
        <v>6</v>
      </c>
      <c r="I140" s="86" t="s">
        <v>83</v>
      </c>
      <c r="J140" s="269" t="str">
        <f>+'Input Data'!I40</f>
        <v>Litho_I</v>
      </c>
      <c r="K140" s="86" t="str">
        <f>+'Input Data'!A20</f>
        <v>I_Mask</v>
      </c>
      <c r="L140" s="269">
        <v>30</v>
      </c>
      <c r="M140" s="460">
        <v>0.8</v>
      </c>
      <c r="N140" s="262">
        <v>0.7</v>
      </c>
      <c r="O140" s="269">
        <v>6.055173611</v>
      </c>
      <c r="P140" s="85">
        <f>+'Input Data'!$B$20/'Input Data'!$C$20</f>
        <v>0.175</v>
      </c>
      <c r="Q140" s="75">
        <f t="shared" si="19"/>
        <v>4373.438673638407</v>
      </c>
      <c r="R140" s="22">
        <f t="shared" si="20"/>
        <v>19992.86250806129</v>
      </c>
      <c r="S140" s="22">
        <f t="shared" si="21"/>
        <v>17493.754694553627</v>
      </c>
      <c r="T140" s="71">
        <f>+'Input Data'!$J$40</f>
        <v>0.19999999999999996</v>
      </c>
      <c r="U140" s="75">
        <f t="shared" si="22"/>
        <v>1.4462429476317482</v>
      </c>
      <c r="V140" s="75">
        <f t="shared" si="23"/>
        <v>0.03333333333333333</v>
      </c>
    </row>
    <row r="141" spans="7:22" ht="12.75">
      <c r="G141" s="272"/>
      <c r="H141" s="269">
        <v>136</v>
      </c>
      <c r="I141" s="86" t="s">
        <v>85</v>
      </c>
      <c r="J141" s="269" t="str">
        <f>+'Input Data'!I40</f>
        <v>Litho_I</v>
      </c>
      <c r="K141" s="86" t="str">
        <f>+'Input Data'!A20</f>
        <v>I_Mask</v>
      </c>
      <c r="L141" s="269">
        <v>30</v>
      </c>
      <c r="M141" s="460">
        <v>0.8</v>
      </c>
      <c r="N141" s="262">
        <v>0.7</v>
      </c>
      <c r="O141" s="269">
        <v>6.055173611</v>
      </c>
      <c r="P141" s="85">
        <f>+'Input Data'!$B$20/'Input Data'!$C$20</f>
        <v>0.175</v>
      </c>
      <c r="Q141" s="75">
        <f t="shared" si="19"/>
        <v>4333.039184243285</v>
      </c>
      <c r="R141" s="22">
        <f t="shared" si="20"/>
        <v>19808.179127969302</v>
      </c>
      <c r="S141" s="22">
        <f t="shared" si="21"/>
        <v>17332.15673697314</v>
      </c>
      <c r="T141" s="71">
        <f>+'Input Data'!$J$40</f>
        <v>0.19999999999999996</v>
      </c>
      <c r="U141" s="75">
        <f t="shared" si="22"/>
        <v>1.432883328122779</v>
      </c>
      <c r="V141" s="75">
        <f t="shared" si="23"/>
        <v>0.03333333333333333</v>
      </c>
    </row>
    <row r="142" spans="7:22" ht="12.75">
      <c r="G142" s="272"/>
      <c r="H142" s="269">
        <v>154</v>
      </c>
      <c r="I142" s="86" t="s">
        <v>86</v>
      </c>
      <c r="J142" s="269" t="str">
        <f>+'Input Data'!I40</f>
        <v>Litho_I</v>
      </c>
      <c r="K142" s="86" t="str">
        <f>+'Input Data'!A20</f>
        <v>I_Mask</v>
      </c>
      <c r="L142" s="269">
        <v>30</v>
      </c>
      <c r="M142" s="460">
        <v>0.8</v>
      </c>
      <c r="N142" s="262">
        <v>0.7</v>
      </c>
      <c r="O142" s="269">
        <v>6.055173611</v>
      </c>
      <c r="P142" s="85">
        <f>+'Input Data'!$B$20/'Input Data'!$C$20</f>
        <v>0.175</v>
      </c>
      <c r="Q142" s="75">
        <f t="shared" si="19"/>
        <v>4327.474900622053</v>
      </c>
      <c r="R142" s="22">
        <f t="shared" si="20"/>
        <v>19782.742402843673</v>
      </c>
      <c r="S142" s="22">
        <f t="shared" si="21"/>
        <v>17309.89960248821</v>
      </c>
      <c r="T142" s="71">
        <f>+'Input Data'!$J$40</f>
        <v>0.19999999999999996</v>
      </c>
      <c r="U142" s="75">
        <f t="shared" si="22"/>
        <v>1.431043287242742</v>
      </c>
      <c r="V142" s="75">
        <f t="shared" si="23"/>
        <v>0.03333333333333333</v>
      </c>
    </row>
    <row r="143" spans="7:22" ht="12.75">
      <c r="G143" s="272"/>
      <c r="H143" s="269">
        <v>169</v>
      </c>
      <c r="I143" s="86" t="s">
        <v>85</v>
      </c>
      <c r="J143" s="269" t="str">
        <f>+'Input Data'!I40</f>
        <v>Litho_I</v>
      </c>
      <c r="K143" s="86" t="str">
        <f>+'Input Data'!A20</f>
        <v>I_Mask</v>
      </c>
      <c r="L143" s="269">
        <v>30</v>
      </c>
      <c r="M143" s="460">
        <v>0.8</v>
      </c>
      <c r="N143" s="262">
        <v>0.7</v>
      </c>
      <c r="O143" s="269">
        <v>6.055173611</v>
      </c>
      <c r="P143" s="85">
        <f>+'Input Data'!$B$20/'Input Data'!$C$20</f>
        <v>0.175</v>
      </c>
      <c r="Q143" s="75">
        <f t="shared" si="19"/>
        <v>4322.843456277472</v>
      </c>
      <c r="R143" s="22">
        <f t="shared" si="20"/>
        <v>19761.570085839874</v>
      </c>
      <c r="S143" s="22">
        <f t="shared" si="21"/>
        <v>17291.373825109888</v>
      </c>
      <c r="T143" s="71">
        <f>+'Input Data'!$J$40</f>
        <v>0.19999999999999996</v>
      </c>
      <c r="U143" s="75">
        <f t="shared" si="22"/>
        <v>1.4295117249594815</v>
      </c>
      <c r="V143" s="75">
        <f t="shared" si="23"/>
        <v>0.03333333333333333</v>
      </c>
    </row>
    <row r="144" spans="7:22" ht="12.75">
      <c r="G144" s="272"/>
      <c r="H144" s="269">
        <v>187</v>
      </c>
      <c r="I144" s="86" t="s">
        <v>86</v>
      </c>
      <c r="J144" s="269" t="str">
        <f>+'Input Data'!I40</f>
        <v>Litho_I</v>
      </c>
      <c r="K144" s="86" t="str">
        <f>+'Input Data'!A20</f>
        <v>I_Mask</v>
      </c>
      <c r="L144" s="269">
        <v>30</v>
      </c>
      <c r="M144" s="460">
        <v>0.8</v>
      </c>
      <c r="N144" s="262">
        <v>0.7</v>
      </c>
      <c r="O144" s="269">
        <v>6.055173611</v>
      </c>
      <c r="P144" s="85">
        <f>+'Input Data'!$B$20/'Input Data'!$C$20</f>
        <v>0.175</v>
      </c>
      <c r="Q144" s="75">
        <f t="shared" si="19"/>
        <v>4317.29226552702</v>
      </c>
      <c r="R144" s="22">
        <f t="shared" si="20"/>
        <v>19736.19321383781</v>
      </c>
      <c r="S144" s="22">
        <f t="shared" si="21"/>
        <v>17269.16906210808</v>
      </c>
      <c r="T144" s="71">
        <f>+'Input Data'!$J$40</f>
        <v>0.19999999999999996</v>
      </c>
      <c r="U144" s="75">
        <f t="shared" si="22"/>
        <v>1.4276760137324802</v>
      </c>
      <c r="V144" s="75">
        <f t="shared" si="23"/>
        <v>0.03333333333333333</v>
      </c>
    </row>
    <row r="145" spans="7:22" ht="12.75">
      <c r="G145" s="272"/>
      <c r="H145" s="269">
        <v>202</v>
      </c>
      <c r="I145" s="86" t="s">
        <v>85</v>
      </c>
      <c r="J145" s="269" t="str">
        <f>+'Input Data'!I40</f>
        <v>Litho_I</v>
      </c>
      <c r="K145" s="86" t="str">
        <f>+'Input Data'!A20</f>
        <v>I_Mask</v>
      </c>
      <c r="L145" s="269">
        <v>30</v>
      </c>
      <c r="M145" s="460">
        <v>0.8</v>
      </c>
      <c r="N145" s="262">
        <v>0.7</v>
      </c>
      <c r="O145" s="269">
        <v>6.055173611</v>
      </c>
      <c r="P145" s="85">
        <f>+'Input Data'!$B$20/'Input Data'!$C$20</f>
        <v>0.175</v>
      </c>
      <c r="Q145" s="75">
        <f t="shared" si="19"/>
        <v>4312.671719063722</v>
      </c>
      <c r="R145" s="22">
        <f t="shared" si="20"/>
        <v>19715.070715719878</v>
      </c>
      <c r="S145" s="22">
        <f t="shared" si="21"/>
        <v>17250.686876254887</v>
      </c>
      <c r="T145" s="71">
        <f>+'Input Data'!$J$40</f>
        <v>0.19999999999999996</v>
      </c>
      <c r="U145" s="75">
        <f t="shared" si="22"/>
        <v>1.4261480552459398</v>
      </c>
      <c r="V145" s="75">
        <f t="shared" si="23"/>
        <v>0.03333333333333333</v>
      </c>
    </row>
    <row r="146" spans="7:22" ht="12.75">
      <c r="G146" s="272"/>
      <c r="H146" s="269">
        <v>220</v>
      </c>
      <c r="I146" s="86" t="s">
        <v>86</v>
      </c>
      <c r="J146" s="269" t="str">
        <f>+'Input Data'!I40</f>
        <v>Litho_I</v>
      </c>
      <c r="K146" s="86" t="str">
        <f>+'Input Data'!A20</f>
        <v>I_Mask</v>
      </c>
      <c r="L146" s="269">
        <v>30</v>
      </c>
      <c r="M146" s="460">
        <v>0.8</v>
      </c>
      <c r="N146" s="262">
        <v>0.7</v>
      </c>
      <c r="O146" s="269">
        <v>6.055173611</v>
      </c>
      <c r="P146" s="85">
        <f>+'Input Data'!$B$20/'Input Data'!$C$20</f>
        <v>0.175</v>
      </c>
      <c r="Q146" s="75">
        <f t="shared" si="19"/>
        <v>4307.133590376265</v>
      </c>
      <c r="R146" s="22">
        <f t="shared" si="20"/>
        <v>19689.753556005788</v>
      </c>
      <c r="S146" s="22">
        <f t="shared" si="21"/>
        <v>17228.53436150506</v>
      </c>
      <c r="T146" s="71">
        <f>+'Input Data'!$J$40</f>
        <v>0.19999999999999996</v>
      </c>
      <c r="U146" s="75">
        <f t="shared" si="22"/>
        <v>1.4243166634842146</v>
      </c>
      <c r="V146" s="75">
        <f t="shared" si="23"/>
        <v>0.03333333333333333</v>
      </c>
    </row>
    <row r="147" spans="7:22" ht="12.75">
      <c r="G147" s="272"/>
      <c r="H147" s="269">
        <v>27</v>
      </c>
      <c r="I147" s="86" t="s">
        <v>87</v>
      </c>
      <c r="J147" s="269" t="str">
        <f>+'Input Data'!I41</f>
        <v>Litho_Iw</v>
      </c>
      <c r="K147" s="86" t="str">
        <f>+'Input Data'!A19</f>
        <v>Iw_Mask</v>
      </c>
      <c r="L147" s="269">
        <v>40</v>
      </c>
      <c r="M147" s="460">
        <v>0.8</v>
      </c>
      <c r="N147" s="262">
        <v>0.7</v>
      </c>
      <c r="O147" s="269">
        <v>6.055173611</v>
      </c>
      <c r="P147" s="85">
        <f>+'Input Data'!$B$19/'Input Data'!$C$19</f>
        <v>0.1</v>
      </c>
      <c r="Q147" s="75">
        <f t="shared" si="19"/>
        <v>2495.364105830303</v>
      </c>
      <c r="R147" s="22">
        <f t="shared" si="20"/>
        <v>19962.912846642423</v>
      </c>
      <c r="S147" s="22">
        <f t="shared" si="21"/>
        <v>17467.54874081212</v>
      </c>
      <c r="T147" s="71">
        <f>+'Input Data'!$J$40</f>
        <v>0.19999999999999996</v>
      </c>
      <c r="U147" s="75">
        <f t="shared" si="22"/>
        <v>1.0830573375999577</v>
      </c>
      <c r="V147" s="75">
        <f t="shared" si="23"/>
        <v>0.025</v>
      </c>
    </row>
    <row r="148" spans="7:22" ht="12.75">
      <c r="G148" s="272"/>
      <c r="H148" s="269">
        <v>36</v>
      </c>
      <c r="I148" s="86" t="s">
        <v>87</v>
      </c>
      <c r="J148" s="269" t="str">
        <f>+'Input Data'!I41</f>
        <v>Litho_Iw</v>
      </c>
      <c r="K148" s="86" t="str">
        <f>+'Input Data'!A19</f>
        <v>Iw_Mask</v>
      </c>
      <c r="L148" s="269">
        <v>40</v>
      </c>
      <c r="M148" s="460">
        <v>0.8</v>
      </c>
      <c r="N148" s="262">
        <v>0.7</v>
      </c>
      <c r="O148" s="269">
        <v>6.055173611</v>
      </c>
      <c r="P148" s="85">
        <f>+'Input Data'!$B$19/'Input Data'!$C$19</f>
        <v>0.1</v>
      </c>
      <c r="Q148" s="75">
        <f t="shared" si="19"/>
        <v>2493.761376950646</v>
      </c>
      <c r="R148" s="22">
        <f t="shared" si="20"/>
        <v>19950.09101560517</v>
      </c>
      <c r="S148" s="22">
        <f t="shared" si="21"/>
        <v>17456.32963865452</v>
      </c>
      <c r="T148" s="71">
        <f>+'Input Data'!$J$40</f>
        <v>0.19999999999999996</v>
      </c>
      <c r="U148" s="75">
        <f t="shared" si="22"/>
        <v>1.08236170874594</v>
      </c>
      <c r="V148" s="75">
        <f t="shared" si="23"/>
        <v>0.025</v>
      </c>
    </row>
    <row r="149" spans="7:22" ht="12.75">
      <c r="G149" s="272"/>
      <c r="H149" s="269">
        <v>65</v>
      </c>
      <c r="I149" s="86" t="s">
        <v>87</v>
      </c>
      <c r="J149" s="269" t="str">
        <f>+'Input Data'!I41</f>
        <v>Litho_Iw</v>
      </c>
      <c r="K149" s="86" t="str">
        <f>+'Input Data'!A19</f>
        <v>Iw_Mask</v>
      </c>
      <c r="L149" s="269">
        <v>40</v>
      </c>
      <c r="M149" s="460">
        <v>0.8</v>
      </c>
      <c r="N149" s="262">
        <v>0.7</v>
      </c>
      <c r="O149" s="269">
        <v>6.055173611</v>
      </c>
      <c r="P149" s="85">
        <f>+'Input Data'!$B$19/'Input Data'!$C$19</f>
        <v>0.1</v>
      </c>
      <c r="Q149" s="75">
        <f t="shared" si="19"/>
        <v>2488.604027502111</v>
      </c>
      <c r="R149" s="22">
        <f t="shared" si="20"/>
        <v>19908.832220016888</v>
      </c>
      <c r="S149" s="22">
        <f t="shared" si="21"/>
        <v>17420.228192514773</v>
      </c>
      <c r="T149" s="71">
        <f>+'Input Data'!$J$40</f>
        <v>0.19999999999999996</v>
      </c>
      <c r="U149" s="75">
        <f t="shared" si="22"/>
        <v>1.0801232758255688</v>
      </c>
      <c r="V149" s="75">
        <f t="shared" si="23"/>
        <v>0.025</v>
      </c>
    </row>
    <row r="150" spans="7:22" ht="12.75">
      <c r="G150" s="272"/>
      <c r="H150" s="269">
        <v>72</v>
      </c>
      <c r="I150" s="86" t="s">
        <v>87</v>
      </c>
      <c r="J150" s="269" t="str">
        <f>+'Input Data'!I41</f>
        <v>Litho_Iw</v>
      </c>
      <c r="K150" s="86" t="str">
        <f>+'Input Data'!A19</f>
        <v>Iw_Mask</v>
      </c>
      <c r="L150" s="269">
        <v>40</v>
      </c>
      <c r="M150" s="460">
        <v>0.8</v>
      </c>
      <c r="N150" s="262">
        <v>0.7</v>
      </c>
      <c r="O150" s="269">
        <v>6.055173611</v>
      </c>
      <c r="P150" s="85">
        <f>+'Input Data'!$B$19/'Input Data'!$C$19</f>
        <v>0.1</v>
      </c>
      <c r="Q150" s="75">
        <f t="shared" si="19"/>
        <v>2487.360748870747</v>
      </c>
      <c r="R150" s="22">
        <f t="shared" si="20"/>
        <v>19898.885990965977</v>
      </c>
      <c r="S150" s="22">
        <f t="shared" si="21"/>
        <v>17411.525242095227</v>
      </c>
      <c r="T150" s="71">
        <f>+'Input Data'!$J$40</f>
        <v>0.19999999999999996</v>
      </c>
      <c r="U150" s="75">
        <f t="shared" si="22"/>
        <v>1.0795836583640395</v>
      </c>
      <c r="V150" s="75">
        <f t="shared" si="23"/>
        <v>0.025</v>
      </c>
    </row>
    <row r="151" spans="7:22" ht="12.75">
      <c r="G151" s="272"/>
      <c r="H151" s="269">
        <v>87</v>
      </c>
      <c r="I151" s="86" t="s">
        <v>87</v>
      </c>
      <c r="J151" s="269" t="str">
        <f>+'Input Data'!I41</f>
        <v>Litho_Iw</v>
      </c>
      <c r="K151" s="86" t="str">
        <f>+'Input Data'!A19</f>
        <v>Iw_Mask</v>
      </c>
      <c r="L151" s="269">
        <v>40</v>
      </c>
      <c r="M151" s="460">
        <v>0.8</v>
      </c>
      <c r="N151" s="262">
        <v>0.7</v>
      </c>
      <c r="O151" s="269">
        <v>6.055173611</v>
      </c>
      <c r="P151" s="85">
        <f>+'Input Data'!$B$19/'Input Data'!$C$19</f>
        <v>0.1</v>
      </c>
      <c r="Q151" s="75">
        <f t="shared" si="19"/>
        <v>2484.6986715305334</v>
      </c>
      <c r="R151" s="22">
        <f t="shared" si="20"/>
        <v>19877.589372244267</v>
      </c>
      <c r="S151" s="22">
        <f t="shared" si="21"/>
        <v>17392.89070071373</v>
      </c>
      <c r="T151" s="71">
        <f>+'Input Data'!$J$40</f>
        <v>0.19999999999999996</v>
      </c>
      <c r="U151" s="75">
        <f t="shared" si="22"/>
        <v>1.078428242851794</v>
      </c>
      <c r="V151" s="75">
        <f t="shared" si="23"/>
        <v>0.025</v>
      </c>
    </row>
    <row r="152" spans="7:22" ht="12.75">
      <c r="G152" s="272"/>
      <c r="H152" s="269">
        <v>94</v>
      </c>
      <c r="I152" s="86" t="s">
        <v>87</v>
      </c>
      <c r="J152" s="269" t="str">
        <f>+'Input Data'!I41</f>
        <v>Litho_Iw</v>
      </c>
      <c r="K152" s="86" t="str">
        <f>+'Input Data'!A19</f>
        <v>Iw_Mask</v>
      </c>
      <c r="L152" s="269">
        <v>40</v>
      </c>
      <c r="M152" s="460">
        <v>0.8</v>
      </c>
      <c r="N152" s="262">
        <v>0.7</v>
      </c>
      <c r="O152" s="269">
        <v>6.055173611</v>
      </c>
      <c r="P152" s="85">
        <f>+'Input Data'!$B$19/'Input Data'!$C$19</f>
        <v>0.1</v>
      </c>
      <c r="Q152" s="75">
        <f t="shared" si="19"/>
        <v>2483.4573439711658</v>
      </c>
      <c r="R152" s="22">
        <f t="shared" si="20"/>
        <v>19867.658751769326</v>
      </c>
      <c r="S152" s="22">
        <f t="shared" si="21"/>
        <v>17384.201407798155</v>
      </c>
      <c r="T152" s="71">
        <f>+'Input Data'!$J$40</f>
        <v>0.19999999999999996</v>
      </c>
      <c r="U152" s="75">
        <f t="shared" si="22"/>
        <v>1.0778894722097074</v>
      </c>
      <c r="V152" s="75">
        <f t="shared" si="23"/>
        <v>0.025</v>
      </c>
    </row>
    <row r="153" spans="7:22" ht="12.75">
      <c r="G153" s="272"/>
      <c r="H153" s="269">
        <v>234</v>
      </c>
      <c r="I153" s="86" t="s">
        <v>85</v>
      </c>
      <c r="J153" s="269" t="str">
        <f>+'Input Data'!I41</f>
        <v>Litho_Iw</v>
      </c>
      <c r="K153" s="86" t="str">
        <f>+'Input Data'!A19</f>
        <v>Iw_Mask</v>
      </c>
      <c r="L153" s="269">
        <v>40</v>
      </c>
      <c r="M153" s="460">
        <v>0.8</v>
      </c>
      <c r="N153" s="262">
        <v>0.7</v>
      </c>
      <c r="O153" s="269">
        <v>6.055173611</v>
      </c>
      <c r="P153" s="85">
        <f>+'Input Data'!$B$19/'Input Data'!$C$19</f>
        <v>0.1</v>
      </c>
      <c r="Q153" s="75">
        <f t="shared" si="19"/>
        <v>2458.760613841299</v>
      </c>
      <c r="R153" s="22">
        <f t="shared" si="20"/>
        <v>19670.08491073039</v>
      </c>
      <c r="S153" s="22">
        <f t="shared" si="21"/>
        <v>17211.324296889088</v>
      </c>
      <c r="T153" s="71">
        <f>+'Input Data'!$J$40</f>
        <v>0.19999999999999996</v>
      </c>
      <c r="U153" s="75">
        <f t="shared" si="22"/>
        <v>1.0671704053130637</v>
      </c>
      <c r="V153" s="75">
        <f t="shared" si="23"/>
        <v>0.025</v>
      </c>
    </row>
    <row r="154" spans="7:22" ht="12.75">
      <c r="G154" s="272"/>
      <c r="H154" s="269">
        <v>251</v>
      </c>
      <c r="I154" s="86" t="s">
        <v>86</v>
      </c>
      <c r="J154" s="269" t="str">
        <f>+'Input Data'!I41</f>
        <v>Litho_Iw</v>
      </c>
      <c r="K154" s="86" t="str">
        <f>+'Input Data'!A19</f>
        <v>Iw_Mask</v>
      </c>
      <c r="L154" s="269">
        <v>40</v>
      </c>
      <c r="M154" s="460">
        <v>0.8</v>
      </c>
      <c r="N154" s="262">
        <v>0.7</v>
      </c>
      <c r="O154" s="269">
        <v>6.055173611</v>
      </c>
      <c r="P154" s="85">
        <f>+'Input Data'!$B$19/'Input Data'!$C$19</f>
        <v>0.1</v>
      </c>
      <c r="Q154" s="75">
        <f t="shared" si="19"/>
        <v>2455.77849597583</v>
      </c>
      <c r="R154" s="22">
        <f t="shared" si="20"/>
        <v>19646.22796780664</v>
      </c>
      <c r="S154" s="22">
        <f t="shared" si="21"/>
        <v>17190.449471830805</v>
      </c>
      <c r="T154" s="71">
        <f>+'Input Data'!$J$40</f>
        <v>0.19999999999999996</v>
      </c>
      <c r="U154" s="75">
        <f t="shared" si="22"/>
        <v>1.065876083322843</v>
      </c>
      <c r="V154" s="75">
        <f t="shared" si="23"/>
        <v>0.025</v>
      </c>
    </row>
    <row r="155" spans="7:22" ht="12.75">
      <c r="G155" s="272"/>
      <c r="H155" s="269">
        <v>265</v>
      </c>
      <c r="I155" s="86" t="s">
        <v>85</v>
      </c>
      <c r="J155" s="269" t="str">
        <f>+'Input Data'!I41</f>
        <v>Litho_Iw</v>
      </c>
      <c r="K155" s="86" t="str">
        <f>+'Input Data'!A19</f>
        <v>Iw_Mask</v>
      </c>
      <c r="L155" s="269">
        <v>40</v>
      </c>
      <c r="M155" s="460">
        <v>0.8</v>
      </c>
      <c r="N155" s="262">
        <v>0.7</v>
      </c>
      <c r="O155" s="269">
        <v>6.055173611</v>
      </c>
      <c r="P155" s="85">
        <f>+'Input Data'!$B$19/'Input Data'!$C$19</f>
        <v>0.1</v>
      </c>
      <c r="Q155" s="75">
        <f aca="true" t="shared" si="24" ref="Q155:Q218">+WS*LY^(($H155-1)/$B$24)*P155</f>
        <v>2453.3253501822624</v>
      </c>
      <c r="R155" s="22">
        <f t="shared" si="20"/>
        <v>19626.6028014581</v>
      </c>
      <c r="S155" s="22">
        <f t="shared" si="21"/>
        <v>17173.277451275833</v>
      </c>
      <c r="T155" s="71">
        <f>+'Input Data'!$J$40</f>
        <v>0.19999999999999996</v>
      </c>
      <c r="U155" s="75">
        <f t="shared" si="22"/>
        <v>1.0648113499054959</v>
      </c>
      <c r="V155" s="75">
        <f t="shared" si="23"/>
        <v>0.025</v>
      </c>
    </row>
    <row r="156" spans="7:22" ht="12.75">
      <c r="G156" s="272"/>
      <c r="H156" s="269">
        <v>277</v>
      </c>
      <c r="I156" s="86" t="s">
        <v>89</v>
      </c>
      <c r="J156" s="269" t="str">
        <f>+'Input Data'!I41</f>
        <v>Litho_Iw</v>
      </c>
      <c r="K156" s="86" t="str">
        <f>+'Input Data'!A19</f>
        <v>Iw_Mask</v>
      </c>
      <c r="L156" s="269">
        <v>40</v>
      </c>
      <c r="M156" s="460">
        <v>0.8</v>
      </c>
      <c r="N156" s="262">
        <v>0.7</v>
      </c>
      <c r="O156" s="269">
        <v>6.055173611</v>
      </c>
      <c r="P156" s="85">
        <f>+'Input Data'!$B$19/'Input Data'!$C$19</f>
        <v>0.1</v>
      </c>
      <c r="Q156" s="75">
        <f t="shared" si="24"/>
        <v>2451.2246042912047</v>
      </c>
      <c r="R156" s="22">
        <f t="shared" si="20"/>
        <v>19609.796834329638</v>
      </c>
      <c r="S156" s="22">
        <f t="shared" si="21"/>
        <v>17158.572230038433</v>
      </c>
      <c r="T156" s="71">
        <f>+'Input Data'!$J$40</f>
        <v>0.19999999999999996</v>
      </c>
      <c r="U156" s="75">
        <f t="shared" si="22"/>
        <v>1.0638995678347243</v>
      </c>
      <c r="V156" s="75">
        <f t="shared" si="23"/>
        <v>0.025</v>
      </c>
    </row>
    <row r="157" spans="7:22" ht="12.75">
      <c r="G157" s="272"/>
      <c r="H157" s="269">
        <v>8</v>
      </c>
      <c r="I157" s="86" t="s">
        <v>90</v>
      </c>
      <c r="J157" s="269" t="str">
        <f>+'Input Data'!I42</f>
        <v>Meas_CD</v>
      </c>
      <c r="K157" s="86"/>
      <c r="L157" s="269">
        <v>200</v>
      </c>
      <c r="M157" s="460">
        <v>0</v>
      </c>
      <c r="N157" s="262"/>
      <c r="O157" s="269">
        <v>0.903689236</v>
      </c>
      <c r="P157" s="85"/>
      <c r="Q157" s="75">
        <f t="shared" si="24"/>
        <v>0</v>
      </c>
      <c r="R157" s="22">
        <f t="shared" si="20"/>
        <v>0</v>
      </c>
      <c r="S157" s="22">
        <f t="shared" si="21"/>
        <v>0</v>
      </c>
      <c r="T157" s="71">
        <f>+'Input Data'!$J$42</f>
        <v>0.65</v>
      </c>
      <c r="U157" s="75">
        <f t="shared" si="22"/>
        <v>0.49578393414062</v>
      </c>
      <c r="V157" s="75">
        <f t="shared" si="23"/>
        <v>0.005</v>
      </c>
    </row>
    <row r="158" spans="7:22" ht="12.75">
      <c r="G158" s="272"/>
      <c r="H158" s="269">
        <v>14</v>
      </c>
      <c r="I158" s="86" t="s">
        <v>90</v>
      </c>
      <c r="J158" s="269" t="str">
        <f>+'Input Data'!I42</f>
        <v>Meas_CD</v>
      </c>
      <c r="K158" s="86"/>
      <c r="L158" s="269">
        <v>200</v>
      </c>
      <c r="M158" s="460">
        <v>0</v>
      </c>
      <c r="N158" s="262"/>
      <c r="O158" s="269">
        <v>0.903689236</v>
      </c>
      <c r="P158" s="85"/>
      <c r="Q158" s="75">
        <f t="shared" si="24"/>
        <v>0</v>
      </c>
      <c r="R158" s="22">
        <f t="shared" si="20"/>
        <v>0</v>
      </c>
      <c r="S158" s="22">
        <f t="shared" si="21"/>
        <v>0</v>
      </c>
      <c r="T158" s="71">
        <f>+'Input Data'!$J$42</f>
        <v>0.65</v>
      </c>
      <c r="U158" s="75">
        <f t="shared" si="22"/>
        <v>0.49557162248847886</v>
      </c>
      <c r="V158" s="75">
        <f t="shared" si="23"/>
        <v>0.005</v>
      </c>
    </row>
    <row r="159" spans="7:22" ht="12.75">
      <c r="G159" s="272"/>
      <c r="H159" s="269">
        <v>30</v>
      </c>
      <c r="I159" s="86" t="s">
        <v>90</v>
      </c>
      <c r="J159" s="269" t="str">
        <f>+'Input Data'!I42</f>
        <v>Meas_CD</v>
      </c>
      <c r="K159" s="86"/>
      <c r="L159" s="269">
        <v>200</v>
      </c>
      <c r="M159" s="460">
        <v>0</v>
      </c>
      <c r="N159" s="262"/>
      <c r="O159" s="269">
        <v>0.903689236</v>
      </c>
      <c r="P159" s="85"/>
      <c r="Q159" s="75">
        <f t="shared" si="24"/>
        <v>0</v>
      </c>
      <c r="R159" s="22">
        <f t="shared" si="20"/>
        <v>0</v>
      </c>
      <c r="S159" s="22">
        <f t="shared" si="21"/>
        <v>0</v>
      </c>
      <c r="T159" s="71">
        <f>+'Input Data'!$J$42</f>
        <v>0.65</v>
      </c>
      <c r="U159" s="75">
        <f t="shared" si="22"/>
        <v>0.49500590247049053</v>
      </c>
      <c r="V159" s="75">
        <f t="shared" si="23"/>
        <v>0.005</v>
      </c>
    </row>
    <row r="160" spans="7:22" ht="12.75">
      <c r="G160" s="272"/>
      <c r="H160" s="269">
        <v>39</v>
      </c>
      <c r="I160" s="86" t="s">
        <v>90</v>
      </c>
      <c r="J160" s="269" t="str">
        <f>+'Input Data'!I42</f>
        <v>Meas_CD</v>
      </c>
      <c r="K160" s="86"/>
      <c r="L160" s="269">
        <v>200</v>
      </c>
      <c r="M160" s="460">
        <v>0</v>
      </c>
      <c r="N160" s="262"/>
      <c r="O160" s="269">
        <v>0.903689236</v>
      </c>
      <c r="P160" s="85"/>
      <c r="Q160" s="75">
        <f t="shared" si="24"/>
        <v>0</v>
      </c>
      <c r="R160" s="22">
        <f t="shared" si="20"/>
        <v>0</v>
      </c>
      <c r="S160" s="22">
        <f t="shared" si="21"/>
        <v>0</v>
      </c>
      <c r="T160" s="71">
        <f>+'Input Data'!$J$42</f>
        <v>0.65</v>
      </c>
      <c r="U160" s="75">
        <f t="shared" si="22"/>
        <v>0.4946879688055651</v>
      </c>
      <c r="V160" s="75">
        <f t="shared" si="23"/>
        <v>0.005</v>
      </c>
    </row>
    <row r="161" spans="7:22" ht="12.75">
      <c r="G161" s="272"/>
      <c r="H161" s="269">
        <v>54</v>
      </c>
      <c r="I161" s="86" t="s">
        <v>90</v>
      </c>
      <c r="J161" s="269" t="str">
        <f>+'Input Data'!I42</f>
        <v>Meas_CD</v>
      </c>
      <c r="K161" s="86"/>
      <c r="L161" s="269">
        <v>200</v>
      </c>
      <c r="M161" s="460">
        <v>0</v>
      </c>
      <c r="N161" s="262"/>
      <c r="O161" s="269">
        <v>0.903689236</v>
      </c>
      <c r="P161" s="85"/>
      <c r="Q161" s="75">
        <f t="shared" si="24"/>
        <v>0</v>
      </c>
      <c r="R161" s="22">
        <f t="shared" si="20"/>
        <v>0</v>
      </c>
      <c r="S161" s="22">
        <f t="shared" si="21"/>
        <v>0</v>
      </c>
      <c r="T161" s="71">
        <f>+'Input Data'!$J$42</f>
        <v>0.65</v>
      </c>
      <c r="U161" s="75">
        <f t="shared" si="22"/>
        <v>0.49415853308425617</v>
      </c>
      <c r="V161" s="75">
        <f t="shared" si="23"/>
        <v>0.005</v>
      </c>
    </row>
    <row r="162" spans="7:22" ht="12.75">
      <c r="G162" s="272"/>
      <c r="H162" s="269">
        <v>61</v>
      </c>
      <c r="I162" s="86" t="s">
        <v>90</v>
      </c>
      <c r="J162" s="269" t="str">
        <f>+'Input Data'!I42</f>
        <v>Meas_CD</v>
      </c>
      <c r="K162" s="86"/>
      <c r="L162" s="269">
        <v>200</v>
      </c>
      <c r="M162" s="460">
        <v>0</v>
      </c>
      <c r="N162" s="262"/>
      <c r="O162" s="269">
        <v>0.903689236</v>
      </c>
      <c r="P162" s="85"/>
      <c r="Q162" s="75">
        <f t="shared" si="24"/>
        <v>0</v>
      </c>
      <c r="R162" s="22">
        <f t="shared" si="20"/>
        <v>0</v>
      </c>
      <c r="S162" s="22">
        <f t="shared" si="21"/>
        <v>0</v>
      </c>
      <c r="T162" s="71">
        <f>+'Input Data'!$J$42</f>
        <v>0.65</v>
      </c>
      <c r="U162" s="75">
        <f t="shared" si="22"/>
        <v>0.49391165702928713</v>
      </c>
      <c r="V162" s="75">
        <f t="shared" si="23"/>
        <v>0.005</v>
      </c>
    </row>
    <row r="163" spans="7:22" ht="12.75">
      <c r="G163" s="272"/>
      <c r="H163" s="269">
        <v>68</v>
      </c>
      <c r="I163" s="86" t="s">
        <v>90</v>
      </c>
      <c r="J163" s="269" t="str">
        <f>+'Input Data'!I42</f>
        <v>Meas_CD</v>
      </c>
      <c r="K163" s="86"/>
      <c r="L163" s="269">
        <v>200</v>
      </c>
      <c r="M163" s="460">
        <v>0</v>
      </c>
      <c r="N163" s="262"/>
      <c r="O163" s="269">
        <v>0.903689236</v>
      </c>
      <c r="P163" s="85"/>
      <c r="Q163" s="75">
        <f t="shared" si="24"/>
        <v>0</v>
      </c>
      <c r="R163" s="22">
        <f t="shared" si="20"/>
        <v>0</v>
      </c>
      <c r="S163" s="22">
        <f t="shared" si="21"/>
        <v>0</v>
      </c>
      <c r="T163" s="71">
        <f>+'Input Data'!$J$42</f>
        <v>0.65</v>
      </c>
      <c r="U163" s="75">
        <f t="shared" si="22"/>
        <v>0.4936649043108235</v>
      </c>
      <c r="V163" s="75">
        <f t="shared" si="23"/>
        <v>0.005</v>
      </c>
    </row>
    <row r="164" spans="7:22" ht="12.75">
      <c r="G164" s="272"/>
      <c r="H164" s="269">
        <v>75</v>
      </c>
      <c r="I164" s="86" t="s">
        <v>90</v>
      </c>
      <c r="J164" s="269" t="str">
        <f>+'Input Data'!I42</f>
        <v>Meas_CD</v>
      </c>
      <c r="K164" s="86"/>
      <c r="L164" s="269">
        <v>200</v>
      </c>
      <c r="M164" s="460">
        <v>0</v>
      </c>
      <c r="N164" s="262"/>
      <c r="O164" s="269">
        <v>0.903689236</v>
      </c>
      <c r="P164" s="85"/>
      <c r="Q164" s="75">
        <f t="shared" si="24"/>
        <v>0</v>
      </c>
      <c r="R164" s="22">
        <f t="shared" si="20"/>
        <v>0</v>
      </c>
      <c r="S164" s="22">
        <f t="shared" si="21"/>
        <v>0</v>
      </c>
      <c r="T164" s="71">
        <f>+'Input Data'!$J$42</f>
        <v>0.65</v>
      </c>
      <c r="U164" s="75">
        <f t="shared" si="22"/>
        <v>0.4934182748672474</v>
      </c>
      <c r="V164" s="75">
        <f t="shared" si="23"/>
        <v>0.005</v>
      </c>
    </row>
    <row r="165" spans="7:22" ht="12.75">
      <c r="G165" s="272"/>
      <c r="H165" s="269">
        <v>90</v>
      </c>
      <c r="I165" s="86" t="s">
        <v>90</v>
      </c>
      <c r="J165" s="269" t="str">
        <f>+'Input Data'!I42</f>
        <v>Meas_CD</v>
      </c>
      <c r="K165" s="86"/>
      <c r="L165" s="269">
        <v>200</v>
      </c>
      <c r="M165" s="460">
        <v>0</v>
      </c>
      <c r="N165" s="262"/>
      <c r="O165" s="269">
        <v>0.903689236</v>
      </c>
      <c r="P165" s="85"/>
      <c r="Q165" s="75">
        <f t="shared" si="24"/>
        <v>0</v>
      </c>
      <c r="R165" s="22">
        <f t="shared" si="20"/>
        <v>0</v>
      </c>
      <c r="S165" s="22">
        <f t="shared" si="21"/>
        <v>0</v>
      </c>
      <c r="T165" s="71">
        <f>+'Input Data'!$J$42</f>
        <v>0.65</v>
      </c>
      <c r="U165" s="75">
        <f t="shared" si="22"/>
        <v>0.49289019802541095</v>
      </c>
      <c r="V165" s="75">
        <f t="shared" si="23"/>
        <v>0.005</v>
      </c>
    </row>
    <row r="166" spans="7:22" ht="12.75">
      <c r="G166" s="272"/>
      <c r="H166" s="269">
        <v>97</v>
      </c>
      <c r="I166" s="86" t="s">
        <v>90</v>
      </c>
      <c r="J166" s="269" t="str">
        <f>+'Input Data'!I42</f>
        <v>Meas_CD</v>
      </c>
      <c r="K166" s="86"/>
      <c r="L166" s="269">
        <v>200</v>
      </c>
      <c r="M166" s="460">
        <v>0</v>
      </c>
      <c r="N166" s="262"/>
      <c r="O166" s="269">
        <v>0.903689236</v>
      </c>
      <c r="P166" s="85"/>
      <c r="Q166" s="75">
        <f t="shared" si="24"/>
        <v>0</v>
      </c>
      <c r="R166" s="22">
        <f t="shared" si="20"/>
        <v>0</v>
      </c>
      <c r="S166" s="22">
        <f t="shared" si="21"/>
        <v>0</v>
      </c>
      <c r="T166" s="71">
        <f>+'Input Data'!$J$42</f>
        <v>0.65</v>
      </c>
      <c r="U166" s="75">
        <f t="shared" si="22"/>
        <v>0.4926439556163972</v>
      </c>
      <c r="V166" s="75">
        <f t="shared" si="23"/>
        <v>0.005</v>
      </c>
    </row>
    <row r="167" spans="7:22" ht="12.75">
      <c r="G167" s="272"/>
      <c r="H167" s="269">
        <v>125</v>
      </c>
      <c r="I167" s="86" t="s">
        <v>90</v>
      </c>
      <c r="J167" s="269" t="str">
        <f>+'Input Data'!I42</f>
        <v>Meas_CD</v>
      </c>
      <c r="K167" s="86"/>
      <c r="L167" s="269">
        <v>200</v>
      </c>
      <c r="M167" s="460">
        <v>0</v>
      </c>
      <c r="N167" s="262"/>
      <c r="O167" s="269">
        <v>0.903689236</v>
      </c>
      <c r="P167" s="85"/>
      <c r="Q167" s="75">
        <f t="shared" si="24"/>
        <v>0</v>
      </c>
      <c r="R167" s="22">
        <f t="shared" si="20"/>
        <v>0</v>
      </c>
      <c r="S167" s="22">
        <f t="shared" si="21"/>
        <v>0</v>
      </c>
      <c r="T167" s="71">
        <f>+'Input Data'!$J$42</f>
        <v>0.65</v>
      </c>
      <c r="U167" s="75">
        <f t="shared" si="22"/>
        <v>0.4916602155653301</v>
      </c>
      <c r="V167" s="75">
        <f t="shared" si="23"/>
        <v>0.005</v>
      </c>
    </row>
    <row r="168" spans="7:22" ht="12.75">
      <c r="G168" s="272"/>
      <c r="H168" s="269">
        <v>129</v>
      </c>
      <c r="I168" s="86" t="s">
        <v>90</v>
      </c>
      <c r="J168" s="269" t="str">
        <f>+'Input Data'!I42</f>
        <v>Meas_CD</v>
      </c>
      <c r="K168" s="86"/>
      <c r="L168" s="269">
        <v>200</v>
      </c>
      <c r="M168" s="460">
        <v>0</v>
      </c>
      <c r="N168" s="262"/>
      <c r="O168" s="269">
        <v>0.903689236</v>
      </c>
      <c r="P168" s="85"/>
      <c r="Q168" s="75">
        <f t="shared" si="24"/>
        <v>0</v>
      </c>
      <c r="R168" s="22">
        <f t="shared" si="20"/>
        <v>0</v>
      </c>
      <c r="S168" s="22">
        <f t="shared" si="21"/>
        <v>0</v>
      </c>
      <c r="T168" s="71">
        <f>+'Input Data'!$J$42</f>
        <v>0.65</v>
      </c>
      <c r="U168" s="75">
        <f t="shared" si="22"/>
        <v>0.4915198417222006</v>
      </c>
      <c r="V168" s="75">
        <f t="shared" si="23"/>
        <v>0.005</v>
      </c>
    </row>
    <row r="169" spans="7:22" ht="12.75">
      <c r="G169" s="272"/>
      <c r="H169" s="269">
        <v>139</v>
      </c>
      <c r="I169" s="86" t="s">
        <v>90</v>
      </c>
      <c r="J169" s="269" t="str">
        <f>+'Input Data'!I42</f>
        <v>Meas_CD</v>
      </c>
      <c r="K169" s="86"/>
      <c r="L169" s="269">
        <v>200</v>
      </c>
      <c r="M169" s="460">
        <v>0</v>
      </c>
      <c r="N169" s="262"/>
      <c r="O169" s="269">
        <v>0.903689236</v>
      </c>
      <c r="P169" s="85"/>
      <c r="Q169" s="75">
        <f t="shared" si="24"/>
        <v>0</v>
      </c>
      <c r="R169" s="22">
        <f t="shared" si="20"/>
        <v>0</v>
      </c>
      <c r="S169" s="22">
        <f t="shared" si="21"/>
        <v>0</v>
      </c>
      <c r="T169" s="71">
        <f>+'Input Data'!$J$42</f>
        <v>0.65</v>
      </c>
      <c r="U169" s="75">
        <f t="shared" si="22"/>
        <v>0.4911690824311101</v>
      </c>
      <c r="V169" s="75">
        <f t="shared" si="23"/>
        <v>0.005</v>
      </c>
    </row>
    <row r="170" spans="7:22" ht="12.75">
      <c r="G170" s="272"/>
      <c r="H170" s="269">
        <v>143</v>
      </c>
      <c r="I170" s="86" t="s">
        <v>90</v>
      </c>
      <c r="J170" s="269" t="str">
        <f>+'Input Data'!I42</f>
        <v>Meas_CD</v>
      </c>
      <c r="K170" s="86"/>
      <c r="L170" s="269">
        <v>200</v>
      </c>
      <c r="M170" s="460">
        <v>0</v>
      </c>
      <c r="N170" s="262"/>
      <c r="O170" s="269">
        <v>0.903689236</v>
      </c>
      <c r="P170" s="85"/>
      <c r="Q170" s="75">
        <f t="shared" si="24"/>
        <v>0</v>
      </c>
      <c r="R170" s="22">
        <f t="shared" si="20"/>
        <v>0</v>
      </c>
      <c r="S170" s="22">
        <f t="shared" si="21"/>
        <v>0</v>
      </c>
      <c r="T170" s="71">
        <f>+'Input Data'!$J$42</f>
        <v>0.65</v>
      </c>
      <c r="U170" s="75">
        <f t="shared" si="22"/>
        <v>0.4910288488113368</v>
      </c>
      <c r="V170" s="75">
        <f t="shared" si="23"/>
        <v>0.005</v>
      </c>
    </row>
    <row r="171" spans="7:22" ht="12.75">
      <c r="G171" s="272"/>
      <c r="H171" s="269">
        <v>157</v>
      </c>
      <c r="I171" s="86" t="s">
        <v>90</v>
      </c>
      <c r="J171" s="269" t="str">
        <f>+'Input Data'!I42</f>
        <v>Meas_CD</v>
      </c>
      <c r="K171" s="86"/>
      <c r="L171" s="269">
        <v>200</v>
      </c>
      <c r="M171" s="460">
        <v>0</v>
      </c>
      <c r="N171" s="262"/>
      <c r="O171" s="269">
        <v>0.903689236</v>
      </c>
      <c r="P171" s="85"/>
      <c r="Q171" s="75">
        <f t="shared" si="24"/>
        <v>0</v>
      </c>
      <c r="R171" s="22">
        <f t="shared" si="20"/>
        <v>0</v>
      </c>
      <c r="S171" s="22">
        <f t="shared" si="21"/>
        <v>0</v>
      </c>
      <c r="T171" s="71">
        <f>+'Input Data'!$J$42</f>
        <v>0.65</v>
      </c>
      <c r="U171" s="75">
        <f t="shared" si="22"/>
        <v>0.490538346367018</v>
      </c>
      <c r="V171" s="75">
        <f t="shared" si="23"/>
        <v>0.005</v>
      </c>
    </row>
    <row r="172" spans="7:22" ht="12.75">
      <c r="G172" s="272"/>
      <c r="H172" s="269">
        <v>160</v>
      </c>
      <c r="I172" s="86" t="s">
        <v>90</v>
      </c>
      <c r="J172" s="269" t="str">
        <f>+'Input Data'!I42</f>
        <v>Meas_CD</v>
      </c>
      <c r="K172" s="86"/>
      <c r="L172" s="269">
        <v>200</v>
      </c>
      <c r="M172" s="460">
        <v>0</v>
      </c>
      <c r="N172" s="262"/>
      <c r="O172" s="269">
        <v>0.903689236</v>
      </c>
      <c r="P172" s="85"/>
      <c r="Q172" s="75">
        <f t="shared" si="24"/>
        <v>0</v>
      </c>
      <c r="R172" s="22">
        <f t="shared" si="20"/>
        <v>0</v>
      </c>
      <c r="S172" s="22">
        <f t="shared" si="21"/>
        <v>0</v>
      </c>
      <c r="T172" s="71">
        <f>+'Input Data'!$J$42</f>
        <v>0.65</v>
      </c>
      <c r="U172" s="75">
        <f t="shared" si="22"/>
        <v>0.4904333024640195</v>
      </c>
      <c r="V172" s="75">
        <f t="shared" si="23"/>
        <v>0.005</v>
      </c>
    </row>
    <row r="173" spans="7:22" ht="12.75">
      <c r="G173" s="272"/>
      <c r="H173" s="269">
        <v>172</v>
      </c>
      <c r="I173" s="86" t="s">
        <v>90</v>
      </c>
      <c r="J173" s="269" t="str">
        <f>+'Input Data'!I42</f>
        <v>Meas_CD</v>
      </c>
      <c r="K173" s="86"/>
      <c r="L173" s="269">
        <v>200</v>
      </c>
      <c r="M173" s="460">
        <v>0</v>
      </c>
      <c r="N173" s="262"/>
      <c r="O173" s="269">
        <v>0.903689236</v>
      </c>
      <c r="P173" s="85"/>
      <c r="Q173" s="75">
        <f t="shared" si="24"/>
        <v>0</v>
      </c>
      <c r="R173" s="22">
        <f t="shared" si="20"/>
        <v>0</v>
      </c>
      <c r="S173" s="22">
        <f t="shared" si="21"/>
        <v>0</v>
      </c>
      <c r="T173" s="71">
        <f>+'Input Data'!$J$42</f>
        <v>0.65</v>
      </c>
      <c r="U173" s="75">
        <f t="shared" si="22"/>
        <v>0.49001335174492205</v>
      </c>
      <c r="V173" s="75">
        <f t="shared" si="23"/>
        <v>0.005</v>
      </c>
    </row>
    <row r="174" spans="7:22" ht="12.75">
      <c r="G174" s="272"/>
      <c r="H174" s="269">
        <v>176</v>
      </c>
      <c r="I174" s="86" t="s">
        <v>90</v>
      </c>
      <c r="J174" s="269" t="str">
        <f>+'Input Data'!I42</f>
        <v>Meas_CD</v>
      </c>
      <c r="K174" s="86"/>
      <c r="L174" s="269">
        <v>200</v>
      </c>
      <c r="M174" s="460">
        <v>0</v>
      </c>
      <c r="N174" s="262"/>
      <c r="O174" s="269">
        <v>0.903689236</v>
      </c>
      <c r="P174" s="85"/>
      <c r="Q174" s="75">
        <f t="shared" si="24"/>
        <v>0</v>
      </c>
      <c r="R174" s="22">
        <f t="shared" si="20"/>
        <v>0</v>
      </c>
      <c r="S174" s="22">
        <f t="shared" si="21"/>
        <v>0</v>
      </c>
      <c r="T174" s="71">
        <f>+'Input Data'!$J$42</f>
        <v>0.65</v>
      </c>
      <c r="U174" s="75">
        <f t="shared" si="22"/>
        <v>0.48987344809766403</v>
      </c>
      <c r="V174" s="75">
        <f t="shared" si="23"/>
        <v>0.005</v>
      </c>
    </row>
    <row r="175" spans="7:22" ht="12.75">
      <c r="G175" s="272"/>
      <c r="H175" s="269">
        <v>190</v>
      </c>
      <c r="I175" s="86" t="s">
        <v>90</v>
      </c>
      <c r="J175" s="269" t="str">
        <f>+'Input Data'!I42</f>
        <v>Meas_CD</v>
      </c>
      <c r="K175" s="86"/>
      <c r="L175" s="269">
        <v>200</v>
      </c>
      <c r="M175" s="460">
        <v>0</v>
      </c>
      <c r="N175" s="262"/>
      <c r="O175" s="269">
        <v>0.903689236</v>
      </c>
      <c r="P175" s="85"/>
      <c r="Q175" s="75">
        <f t="shared" si="24"/>
        <v>0</v>
      </c>
      <c r="R175" s="22">
        <f t="shared" si="20"/>
        <v>0</v>
      </c>
      <c r="S175" s="22">
        <f t="shared" si="21"/>
        <v>0</v>
      </c>
      <c r="T175" s="71">
        <f>+'Input Data'!$J$42</f>
        <v>0.65</v>
      </c>
      <c r="U175" s="75">
        <f t="shared" si="22"/>
        <v>0.4893840998154185</v>
      </c>
      <c r="V175" s="75">
        <f t="shared" si="23"/>
        <v>0.005</v>
      </c>
    </row>
    <row r="176" spans="7:22" ht="12.75">
      <c r="G176" s="272"/>
      <c r="H176" s="269">
        <v>193</v>
      </c>
      <c r="I176" s="86" t="s">
        <v>90</v>
      </c>
      <c r="J176" s="269" t="str">
        <f>+'Input Data'!I42</f>
        <v>Meas_CD</v>
      </c>
      <c r="K176" s="86"/>
      <c r="L176" s="269">
        <v>200</v>
      </c>
      <c r="M176" s="460">
        <v>0</v>
      </c>
      <c r="N176" s="262"/>
      <c r="O176" s="269">
        <v>0.903689236</v>
      </c>
      <c r="P176" s="85"/>
      <c r="Q176" s="75">
        <f t="shared" si="24"/>
        <v>0</v>
      </c>
      <c r="R176" s="22">
        <f t="shared" si="20"/>
        <v>0</v>
      </c>
      <c r="S176" s="22">
        <f t="shared" si="21"/>
        <v>0</v>
      </c>
      <c r="T176" s="71">
        <f>+'Input Data'!$J$42</f>
        <v>0.65</v>
      </c>
      <c r="U176" s="75">
        <f t="shared" si="22"/>
        <v>0.48927930308282735</v>
      </c>
      <c r="V176" s="75">
        <f t="shared" si="23"/>
        <v>0.005</v>
      </c>
    </row>
    <row r="177" spans="7:22" ht="12.75">
      <c r="G177" s="272"/>
      <c r="H177" s="269">
        <v>205</v>
      </c>
      <c r="I177" s="86" t="s">
        <v>90</v>
      </c>
      <c r="J177" s="269" t="str">
        <f>+'Input Data'!I42</f>
        <v>Meas_CD</v>
      </c>
      <c r="K177" s="86"/>
      <c r="L177" s="269">
        <v>200</v>
      </c>
      <c r="M177" s="460">
        <v>0</v>
      </c>
      <c r="N177" s="262"/>
      <c r="O177" s="269">
        <v>0.903689236</v>
      </c>
      <c r="P177" s="85"/>
      <c r="Q177" s="75">
        <f t="shared" si="24"/>
        <v>0</v>
      </c>
      <c r="R177" s="22">
        <f t="shared" si="20"/>
        <v>0</v>
      </c>
      <c r="S177" s="22">
        <f t="shared" si="21"/>
        <v>0</v>
      </c>
      <c r="T177" s="71">
        <f>+'Input Data'!$J$42</f>
        <v>0.65</v>
      </c>
      <c r="U177" s="75">
        <f t="shared" si="22"/>
        <v>0.488860340516181</v>
      </c>
      <c r="V177" s="75">
        <f t="shared" si="23"/>
        <v>0.005</v>
      </c>
    </row>
    <row r="178" spans="7:22" ht="12.75">
      <c r="G178" s="272"/>
      <c r="H178" s="269">
        <v>209</v>
      </c>
      <c r="I178" s="86" t="s">
        <v>90</v>
      </c>
      <c r="J178" s="269" t="str">
        <f>+'Input Data'!I42</f>
        <v>Meas_CD</v>
      </c>
      <c r="K178" s="86"/>
      <c r="L178" s="269">
        <v>200</v>
      </c>
      <c r="M178" s="460">
        <v>0</v>
      </c>
      <c r="N178" s="262"/>
      <c r="O178" s="269">
        <v>0.903689236</v>
      </c>
      <c r="P178" s="85"/>
      <c r="Q178" s="75">
        <f t="shared" si="24"/>
        <v>0</v>
      </c>
      <c r="R178" s="22">
        <f t="shared" si="20"/>
        <v>0</v>
      </c>
      <c r="S178" s="22">
        <f t="shared" si="21"/>
        <v>0</v>
      </c>
      <c r="T178" s="71">
        <f>+'Input Data'!$J$42</f>
        <v>0.65</v>
      </c>
      <c r="U178" s="75">
        <f t="shared" si="22"/>
        <v>0.4887207660650064</v>
      </c>
      <c r="V178" s="75">
        <f t="shared" si="23"/>
        <v>0.005</v>
      </c>
    </row>
    <row r="179" spans="7:22" ht="12.75">
      <c r="G179" s="272"/>
      <c r="H179" s="269">
        <v>223</v>
      </c>
      <c r="I179" s="86" t="s">
        <v>90</v>
      </c>
      <c r="J179" s="269" t="str">
        <f>+'Input Data'!I42</f>
        <v>Meas_CD</v>
      </c>
      <c r="K179" s="86"/>
      <c r="L179" s="269">
        <v>200</v>
      </c>
      <c r="M179" s="460">
        <v>0</v>
      </c>
      <c r="N179" s="262"/>
      <c r="O179" s="269">
        <v>0.903689236</v>
      </c>
      <c r="P179" s="85"/>
      <c r="Q179" s="75">
        <f t="shared" si="24"/>
        <v>0</v>
      </c>
      <c r="R179" s="22">
        <f t="shared" si="20"/>
        <v>0</v>
      </c>
      <c r="S179" s="22">
        <f t="shared" si="21"/>
        <v>0</v>
      </c>
      <c r="T179" s="71">
        <f>+'Input Data'!$J$42</f>
        <v>0.65</v>
      </c>
      <c r="U179" s="75">
        <f t="shared" si="22"/>
        <v>0.4882325692290679</v>
      </c>
      <c r="V179" s="75">
        <f t="shared" si="23"/>
        <v>0.005</v>
      </c>
    </row>
    <row r="180" spans="7:22" ht="12.75">
      <c r="G180" s="272"/>
      <c r="H180" s="269">
        <v>226</v>
      </c>
      <c r="I180" s="86" t="s">
        <v>90</v>
      </c>
      <c r="J180" s="269" t="str">
        <f>+'Input Data'!I42</f>
        <v>Meas_CD</v>
      </c>
      <c r="K180" s="86"/>
      <c r="L180" s="269">
        <v>200</v>
      </c>
      <c r="M180" s="460">
        <v>0</v>
      </c>
      <c r="N180" s="262"/>
      <c r="O180" s="269">
        <v>0.903689236</v>
      </c>
      <c r="P180" s="85"/>
      <c r="Q180" s="75">
        <f t="shared" si="24"/>
        <v>0</v>
      </c>
      <c r="R180" s="22">
        <f t="shared" si="20"/>
        <v>0</v>
      </c>
      <c r="S180" s="22">
        <f t="shared" si="21"/>
        <v>0</v>
      </c>
      <c r="T180" s="71">
        <f>+'Input Data'!$J$42</f>
        <v>0.65</v>
      </c>
      <c r="U180" s="75">
        <f t="shared" si="22"/>
        <v>0.4881280190852869</v>
      </c>
      <c r="V180" s="75">
        <f t="shared" si="23"/>
        <v>0.005</v>
      </c>
    </row>
    <row r="181" spans="7:22" ht="12.75">
      <c r="G181" s="272"/>
      <c r="H181" s="269">
        <v>237</v>
      </c>
      <c r="I181" s="86" t="s">
        <v>90</v>
      </c>
      <c r="J181" s="269" t="str">
        <f>+'Input Data'!I42</f>
        <v>Meas_CD</v>
      </c>
      <c r="K181" s="86"/>
      <c r="L181" s="269">
        <v>200</v>
      </c>
      <c r="M181" s="460">
        <v>0</v>
      </c>
      <c r="N181" s="262"/>
      <c r="O181" s="269">
        <v>0.903689236</v>
      </c>
      <c r="P181" s="85"/>
      <c r="Q181" s="75">
        <f t="shared" si="24"/>
        <v>0</v>
      </c>
      <c r="R181" s="22">
        <f t="shared" si="20"/>
        <v>0</v>
      </c>
      <c r="S181" s="22">
        <f t="shared" si="21"/>
        <v>0</v>
      </c>
      <c r="T181" s="71">
        <f>+'Input Data'!$J$42</f>
        <v>0.65</v>
      </c>
      <c r="U181" s="75">
        <f t="shared" si="22"/>
        <v>0.48774486006659684</v>
      </c>
      <c r="V181" s="75">
        <f t="shared" si="23"/>
        <v>0.005</v>
      </c>
    </row>
    <row r="182" spans="7:22" ht="12.75">
      <c r="G182" s="272"/>
      <c r="H182" s="269">
        <v>240</v>
      </c>
      <c r="I182" s="86" t="s">
        <v>90</v>
      </c>
      <c r="J182" s="269" t="str">
        <f>+'Input Data'!I42</f>
        <v>Meas_CD</v>
      </c>
      <c r="K182" s="86"/>
      <c r="L182" s="269">
        <v>200</v>
      </c>
      <c r="M182" s="460">
        <v>0</v>
      </c>
      <c r="N182" s="262"/>
      <c r="O182" s="269">
        <v>0.903689236</v>
      </c>
      <c r="P182" s="85"/>
      <c r="Q182" s="75">
        <f t="shared" si="24"/>
        <v>0</v>
      </c>
      <c r="R182" s="22">
        <f t="shared" si="20"/>
        <v>0</v>
      </c>
      <c r="S182" s="22">
        <f t="shared" si="21"/>
        <v>0</v>
      </c>
      <c r="T182" s="71">
        <f>+'Input Data'!$J$42</f>
        <v>0.65</v>
      </c>
      <c r="U182" s="75">
        <f t="shared" si="22"/>
        <v>0.48764041436087713</v>
      </c>
      <c r="V182" s="75">
        <f t="shared" si="23"/>
        <v>0.005</v>
      </c>
    </row>
    <row r="183" spans="7:22" ht="12.75">
      <c r="G183" s="272"/>
      <c r="H183" s="269">
        <v>254</v>
      </c>
      <c r="I183" s="86" t="s">
        <v>90</v>
      </c>
      <c r="J183" s="269" t="str">
        <f>+'Input Data'!I42</f>
        <v>Meas_CD</v>
      </c>
      <c r="K183" s="86"/>
      <c r="L183" s="269">
        <v>200</v>
      </c>
      <c r="M183" s="460">
        <v>0</v>
      </c>
      <c r="N183" s="262"/>
      <c r="O183" s="269">
        <v>0.903689236</v>
      </c>
      <c r="P183" s="85"/>
      <c r="Q183" s="75">
        <f t="shared" si="24"/>
        <v>0</v>
      </c>
      <c r="R183" s="22">
        <f t="shared" si="20"/>
        <v>0</v>
      </c>
      <c r="S183" s="22">
        <f t="shared" si="21"/>
        <v>0</v>
      </c>
      <c r="T183" s="71">
        <f>+'Input Data'!$J$42</f>
        <v>0.65</v>
      </c>
      <c r="U183" s="75">
        <f t="shared" si="22"/>
        <v>0.4871532967184582</v>
      </c>
      <c r="V183" s="75">
        <f t="shared" si="23"/>
        <v>0.005</v>
      </c>
    </row>
    <row r="184" spans="7:22" ht="12.75">
      <c r="G184" s="272"/>
      <c r="H184" s="269">
        <v>257</v>
      </c>
      <c r="I184" s="86" t="s">
        <v>90</v>
      </c>
      <c r="J184" s="269" t="str">
        <f>+'Input Data'!I42</f>
        <v>Meas_CD</v>
      </c>
      <c r="K184" s="86"/>
      <c r="L184" s="269">
        <v>200</v>
      </c>
      <c r="M184" s="460">
        <v>0</v>
      </c>
      <c r="N184" s="262"/>
      <c r="O184" s="269">
        <v>0.903689236</v>
      </c>
      <c r="P184" s="85"/>
      <c r="Q184" s="75">
        <f t="shared" si="24"/>
        <v>0</v>
      </c>
      <c r="R184" s="22">
        <f t="shared" si="20"/>
        <v>0</v>
      </c>
      <c r="S184" s="22">
        <f t="shared" si="21"/>
        <v>0</v>
      </c>
      <c r="T184" s="71">
        <f>+'Input Data'!$J$42</f>
        <v>0.65</v>
      </c>
      <c r="U184" s="75">
        <f t="shared" si="22"/>
        <v>0.48704897769013994</v>
      </c>
      <c r="V184" s="75">
        <f t="shared" si="23"/>
        <v>0.005</v>
      </c>
    </row>
    <row r="185" spans="7:22" ht="12.75">
      <c r="G185" s="272"/>
      <c r="H185" s="269">
        <v>268</v>
      </c>
      <c r="I185" s="86" t="s">
        <v>90</v>
      </c>
      <c r="J185" s="269" t="str">
        <f>+'Input Data'!I42</f>
        <v>Meas_CD</v>
      </c>
      <c r="K185" s="86"/>
      <c r="L185" s="269">
        <v>200</v>
      </c>
      <c r="M185" s="460">
        <v>0</v>
      </c>
      <c r="N185" s="262"/>
      <c r="O185" s="269">
        <v>0.903689236</v>
      </c>
      <c r="P185" s="85"/>
      <c r="Q185" s="75">
        <f t="shared" si="24"/>
        <v>0</v>
      </c>
      <c r="R185" s="22">
        <f t="shared" si="20"/>
        <v>0</v>
      </c>
      <c r="S185" s="22">
        <f t="shared" si="21"/>
        <v>0</v>
      </c>
      <c r="T185" s="71">
        <f>+'Input Data'!$J$42</f>
        <v>0.65</v>
      </c>
      <c r="U185" s="75">
        <f t="shared" si="22"/>
        <v>0.4866666656714702</v>
      </c>
      <c r="V185" s="75">
        <f t="shared" si="23"/>
        <v>0.005</v>
      </c>
    </row>
    <row r="186" spans="7:22" ht="12.75">
      <c r="G186" s="272"/>
      <c r="H186" s="269">
        <v>271</v>
      </c>
      <c r="I186" s="86" t="s">
        <v>90</v>
      </c>
      <c r="J186" s="269" t="str">
        <f>+'Input Data'!I42</f>
        <v>Meas_CD</v>
      </c>
      <c r="K186" s="86"/>
      <c r="L186" s="269">
        <v>200</v>
      </c>
      <c r="M186" s="460">
        <v>0</v>
      </c>
      <c r="N186" s="262"/>
      <c r="O186" s="269">
        <v>0.903689236</v>
      </c>
      <c r="P186" s="85"/>
      <c r="Q186" s="75">
        <f t="shared" si="24"/>
        <v>0</v>
      </c>
      <c r="R186" s="22">
        <f t="shared" si="20"/>
        <v>0</v>
      </c>
      <c r="S186" s="22">
        <f t="shared" si="21"/>
        <v>0</v>
      </c>
      <c r="T186" s="71">
        <f>+'Input Data'!$J$42</f>
        <v>0.65</v>
      </c>
      <c r="U186" s="75">
        <f t="shared" si="22"/>
        <v>0.4865624508503456</v>
      </c>
      <c r="V186" s="75">
        <f t="shared" si="23"/>
        <v>0.005</v>
      </c>
    </row>
    <row r="187" spans="7:22" ht="12.75">
      <c r="G187" s="272"/>
      <c r="H187" s="269">
        <v>3</v>
      </c>
      <c r="I187" s="86" t="s">
        <v>91</v>
      </c>
      <c r="J187" s="269" t="str">
        <f>+'Input Data'!I43</f>
        <v>Meas_Film</v>
      </c>
      <c r="K187" s="86"/>
      <c r="L187" s="269">
        <v>200</v>
      </c>
      <c r="M187" s="460">
        <v>0</v>
      </c>
      <c r="N187" s="262"/>
      <c r="O187" s="269">
        <v>0.483333333</v>
      </c>
      <c r="P187" s="85"/>
      <c r="Q187" s="75">
        <f t="shared" si="24"/>
        <v>0</v>
      </c>
      <c r="R187" s="22">
        <f t="shared" si="20"/>
        <v>0</v>
      </c>
      <c r="S187" s="22">
        <f t="shared" si="21"/>
        <v>0</v>
      </c>
      <c r="T187" s="71">
        <f>+'Input Data'!$J$43</f>
        <v>0.65</v>
      </c>
      <c r="U187" s="75">
        <f t="shared" si="22"/>
        <v>0.4959609299976086</v>
      </c>
      <c r="V187" s="75">
        <f t="shared" si="23"/>
        <v>0.005</v>
      </c>
    </row>
    <row r="188" spans="7:22" ht="12.75">
      <c r="G188" s="272"/>
      <c r="H188" s="269">
        <v>5</v>
      </c>
      <c r="I188" s="86" t="s">
        <v>91</v>
      </c>
      <c r="J188" s="269" t="str">
        <f>+'Input Data'!I43</f>
        <v>Meas_Film</v>
      </c>
      <c r="K188" s="86"/>
      <c r="L188" s="269">
        <v>200</v>
      </c>
      <c r="M188" s="460">
        <v>0</v>
      </c>
      <c r="N188" s="262"/>
      <c r="O188" s="269">
        <v>0.483333333</v>
      </c>
      <c r="P188" s="85"/>
      <c r="Q188" s="75">
        <f t="shared" si="24"/>
        <v>0</v>
      </c>
      <c r="R188" s="22">
        <f t="shared" si="20"/>
        <v>0</v>
      </c>
      <c r="S188" s="22">
        <f t="shared" si="21"/>
        <v>0</v>
      </c>
      <c r="T188" s="71">
        <f>+'Input Data'!$J$43</f>
        <v>0.65</v>
      </c>
      <c r="U188" s="75">
        <f t="shared" si="22"/>
        <v>0.4958901240735312</v>
      </c>
      <c r="V188" s="75">
        <f t="shared" si="23"/>
        <v>0.005</v>
      </c>
    </row>
    <row r="189" spans="7:22" ht="12.75">
      <c r="G189" s="272"/>
      <c r="H189" s="269">
        <v>17</v>
      </c>
      <c r="I189" s="86" t="s">
        <v>91</v>
      </c>
      <c r="J189" s="269" t="str">
        <f>+'Input Data'!I43</f>
        <v>Meas_Film</v>
      </c>
      <c r="K189" s="86"/>
      <c r="L189" s="269">
        <v>200</v>
      </c>
      <c r="M189" s="460">
        <v>0</v>
      </c>
      <c r="N189" s="262"/>
      <c r="O189" s="269">
        <v>0.483333333</v>
      </c>
      <c r="P189" s="85"/>
      <c r="Q189" s="75">
        <f t="shared" si="24"/>
        <v>0</v>
      </c>
      <c r="R189" s="22">
        <f t="shared" si="20"/>
        <v>0</v>
      </c>
      <c r="S189" s="22">
        <f t="shared" si="21"/>
        <v>0</v>
      </c>
      <c r="T189" s="71">
        <f>+'Input Data'!$J$43</f>
        <v>0.65</v>
      </c>
      <c r="U189" s="75">
        <f t="shared" si="22"/>
        <v>0.4954655007595111</v>
      </c>
      <c r="V189" s="75">
        <f t="shared" si="23"/>
        <v>0.005</v>
      </c>
    </row>
    <row r="190" spans="7:22" ht="12.75">
      <c r="G190" s="272"/>
      <c r="H190" s="269">
        <v>19</v>
      </c>
      <c r="I190" s="86" t="s">
        <v>91</v>
      </c>
      <c r="J190" s="269" t="str">
        <f>+'Input Data'!I43</f>
        <v>Meas_Film</v>
      </c>
      <c r="K190" s="86"/>
      <c r="L190" s="269">
        <v>200</v>
      </c>
      <c r="M190" s="460">
        <v>0</v>
      </c>
      <c r="N190" s="262"/>
      <c r="O190" s="269">
        <v>0.483333333</v>
      </c>
      <c r="P190" s="85"/>
      <c r="Q190" s="75">
        <f t="shared" si="24"/>
        <v>0</v>
      </c>
      <c r="R190" s="22">
        <f t="shared" si="20"/>
        <v>0</v>
      </c>
      <c r="S190" s="22">
        <f t="shared" si="21"/>
        <v>0</v>
      </c>
      <c r="T190" s="71">
        <f>+'Input Data'!$J$43</f>
        <v>0.65</v>
      </c>
      <c r="U190" s="75">
        <f t="shared" si="22"/>
        <v>0.49539476556545065</v>
      </c>
      <c r="V190" s="75">
        <f t="shared" si="23"/>
        <v>0.005</v>
      </c>
    </row>
    <row r="191" spans="7:22" ht="12.75">
      <c r="G191" s="272"/>
      <c r="H191" s="269">
        <v>26</v>
      </c>
      <c r="I191" s="86" t="s">
        <v>91</v>
      </c>
      <c r="J191" s="269" t="str">
        <f>+'Input Data'!I43</f>
        <v>Meas_Film</v>
      </c>
      <c r="K191" s="86"/>
      <c r="L191" s="269">
        <v>200</v>
      </c>
      <c r="M191" s="460">
        <v>0</v>
      </c>
      <c r="N191" s="262"/>
      <c r="O191" s="269">
        <v>0.483333333</v>
      </c>
      <c r="P191" s="85"/>
      <c r="Q191" s="75">
        <f t="shared" si="24"/>
        <v>0</v>
      </c>
      <c r="R191" s="22">
        <f t="shared" si="20"/>
        <v>0</v>
      </c>
      <c r="S191" s="22">
        <f t="shared" si="21"/>
        <v>0</v>
      </c>
      <c r="T191" s="71">
        <f>+'Input Data'!$J$43</f>
        <v>0.65</v>
      </c>
      <c r="U191" s="75">
        <f t="shared" si="22"/>
        <v>0.4951472719026139</v>
      </c>
      <c r="V191" s="75">
        <f t="shared" si="23"/>
        <v>0.005</v>
      </c>
    </row>
    <row r="192" spans="7:22" ht="12.75">
      <c r="G192" s="272"/>
      <c r="H192" s="269">
        <v>48</v>
      </c>
      <c r="I192" s="86" t="s">
        <v>91</v>
      </c>
      <c r="J192" s="269" t="str">
        <f>+'Input Data'!I43</f>
        <v>Meas_Film</v>
      </c>
      <c r="K192" s="86"/>
      <c r="L192" s="269">
        <v>200</v>
      </c>
      <c r="M192" s="460">
        <v>0</v>
      </c>
      <c r="N192" s="262"/>
      <c r="O192" s="269">
        <v>0.483333333</v>
      </c>
      <c r="P192" s="85"/>
      <c r="Q192" s="75">
        <f t="shared" si="24"/>
        <v>0</v>
      </c>
      <c r="R192" s="22">
        <f t="shared" si="20"/>
        <v>0</v>
      </c>
      <c r="S192" s="22">
        <f t="shared" si="21"/>
        <v>0</v>
      </c>
      <c r="T192" s="71">
        <f>+'Input Data'!$J$43</f>
        <v>0.65</v>
      </c>
      <c r="U192" s="75">
        <f t="shared" si="22"/>
        <v>0.494370239343892</v>
      </c>
      <c r="V192" s="75">
        <f t="shared" si="23"/>
        <v>0.005</v>
      </c>
    </row>
    <row r="193" spans="7:22" ht="12.75">
      <c r="G193" s="272"/>
      <c r="H193" s="269">
        <v>50</v>
      </c>
      <c r="I193" s="86" t="s">
        <v>91</v>
      </c>
      <c r="J193" s="269" t="str">
        <f>+'Input Data'!I43</f>
        <v>Meas_Film</v>
      </c>
      <c r="K193" s="86"/>
      <c r="L193" s="269">
        <v>200</v>
      </c>
      <c r="M193" s="460">
        <v>0</v>
      </c>
      <c r="N193" s="262"/>
      <c r="O193" s="269">
        <v>0.483333333</v>
      </c>
      <c r="P193" s="85"/>
      <c r="Q193" s="75">
        <f t="shared" si="24"/>
        <v>0</v>
      </c>
      <c r="R193" s="22">
        <f t="shared" si="20"/>
        <v>0</v>
      </c>
      <c r="S193" s="22">
        <f t="shared" si="21"/>
        <v>0</v>
      </c>
      <c r="T193" s="71">
        <f>+'Input Data'!$J$43</f>
        <v>0.65</v>
      </c>
      <c r="U193" s="75">
        <f t="shared" si="22"/>
        <v>0.49429966051496427</v>
      </c>
      <c r="V193" s="75">
        <f t="shared" si="23"/>
        <v>0.005</v>
      </c>
    </row>
    <row r="194" spans="7:22" ht="12.75">
      <c r="G194" s="272"/>
      <c r="H194" s="269">
        <v>56</v>
      </c>
      <c r="I194" s="86" t="s">
        <v>91</v>
      </c>
      <c r="J194" s="269" t="str">
        <f>+'Input Data'!I43</f>
        <v>Meas_Film</v>
      </c>
      <c r="K194" s="86"/>
      <c r="L194" s="269">
        <v>200</v>
      </c>
      <c r="M194" s="460">
        <v>0</v>
      </c>
      <c r="N194" s="262"/>
      <c r="O194" s="269">
        <v>0.483333333</v>
      </c>
      <c r="P194" s="85"/>
      <c r="Q194" s="75">
        <f t="shared" si="24"/>
        <v>0</v>
      </c>
      <c r="R194" s="22">
        <f aca="true" t="shared" si="25" ref="R194:R257">+WS*LY^(($H194-1)/$B$24)*M194</f>
        <v>0</v>
      </c>
      <c r="S194" s="22">
        <f aca="true" t="shared" si="26" ref="S194:S257">+WS*LY^(($H194-1)/$B$24)*N194</f>
        <v>0</v>
      </c>
      <c r="T194" s="71">
        <f>+'Input Data'!$J$43</f>
        <v>0.65</v>
      </c>
      <c r="U194" s="75">
        <f aca="true" t="shared" si="27" ref="U194:U257">+WS*(LY^((+H194-1)/$B$24))*(1/L194)/(1-T194)/720</f>
        <v>0.49408798447959906</v>
      </c>
      <c r="V194" s="75">
        <f t="shared" si="23"/>
        <v>0.005</v>
      </c>
    </row>
    <row r="195" spans="7:22" ht="12.75">
      <c r="G195" s="272"/>
      <c r="H195" s="269">
        <v>64</v>
      </c>
      <c r="I195" s="86" t="s">
        <v>91</v>
      </c>
      <c r="J195" s="269" t="str">
        <f>+'Input Data'!I43</f>
        <v>Meas_Film</v>
      </c>
      <c r="K195" s="86"/>
      <c r="L195" s="269">
        <v>200</v>
      </c>
      <c r="M195" s="460">
        <v>0</v>
      </c>
      <c r="N195" s="262"/>
      <c r="O195" s="269">
        <v>0.483333333</v>
      </c>
      <c r="P195" s="85"/>
      <c r="Q195" s="75">
        <f t="shared" si="24"/>
        <v>0</v>
      </c>
      <c r="R195" s="22">
        <f t="shared" si="25"/>
        <v>0</v>
      </c>
      <c r="S195" s="22">
        <f t="shared" si="26"/>
        <v>0</v>
      </c>
      <c r="T195" s="71">
        <f>+'Input Data'!$J$43</f>
        <v>0.65</v>
      </c>
      <c r="U195" s="75">
        <f t="shared" si="27"/>
        <v>0.4938058907653956</v>
      </c>
      <c r="V195" s="75">
        <f t="shared" si="23"/>
        <v>0.005</v>
      </c>
    </row>
    <row r="196" spans="7:22" ht="12.75">
      <c r="G196" s="272"/>
      <c r="H196" s="269">
        <v>81</v>
      </c>
      <c r="I196" s="86" t="s">
        <v>91</v>
      </c>
      <c r="J196" s="269" t="str">
        <f>+'Input Data'!I43</f>
        <v>Meas_Film</v>
      </c>
      <c r="K196" s="86"/>
      <c r="L196" s="269">
        <v>200</v>
      </c>
      <c r="M196" s="460">
        <v>0</v>
      </c>
      <c r="N196" s="262"/>
      <c r="O196" s="269">
        <v>0.483333333</v>
      </c>
      <c r="P196" s="85"/>
      <c r="Q196" s="75">
        <f t="shared" si="24"/>
        <v>0</v>
      </c>
      <c r="R196" s="22">
        <f t="shared" si="25"/>
        <v>0</v>
      </c>
      <c r="S196" s="22">
        <f t="shared" si="26"/>
        <v>0</v>
      </c>
      <c r="T196" s="71">
        <f>+'Input Data'!$J$43</f>
        <v>0.65</v>
      </c>
      <c r="U196" s="75">
        <f t="shared" si="27"/>
        <v>0.4932069762713878</v>
      </c>
      <c r="V196" s="75">
        <f aca="true" t="shared" si="28" ref="V196:V259">1/L196</f>
        <v>0.005</v>
      </c>
    </row>
    <row r="197" spans="7:22" ht="12.75">
      <c r="G197" s="272"/>
      <c r="H197" s="269">
        <v>83</v>
      </c>
      <c r="I197" s="86" t="s">
        <v>91</v>
      </c>
      <c r="J197" s="269" t="str">
        <f>+'Input Data'!I43</f>
        <v>Meas_Film</v>
      </c>
      <c r="K197" s="86"/>
      <c r="L197" s="269">
        <v>200</v>
      </c>
      <c r="M197" s="460">
        <v>0</v>
      </c>
      <c r="N197" s="262"/>
      <c r="O197" s="269">
        <v>0.483333333</v>
      </c>
      <c r="P197" s="85"/>
      <c r="Q197" s="75">
        <f t="shared" si="24"/>
        <v>0</v>
      </c>
      <c r="R197" s="22">
        <f t="shared" si="25"/>
        <v>0</v>
      </c>
      <c r="S197" s="22">
        <f t="shared" si="26"/>
        <v>0</v>
      </c>
      <c r="T197" s="71">
        <f>+'Input Data'!$J$43</f>
        <v>0.65</v>
      </c>
      <c r="U197" s="75">
        <f t="shared" si="27"/>
        <v>0.4931365635158578</v>
      </c>
      <c r="V197" s="75">
        <f t="shared" si="28"/>
        <v>0.005</v>
      </c>
    </row>
    <row r="198" spans="7:22" ht="12.75">
      <c r="G198" s="272"/>
      <c r="H198" s="269">
        <v>86</v>
      </c>
      <c r="I198" s="86" t="s">
        <v>91</v>
      </c>
      <c r="J198" s="269" t="str">
        <f>+'Input Data'!I43</f>
        <v>Meas_Film</v>
      </c>
      <c r="K198" s="86"/>
      <c r="L198" s="269">
        <v>200</v>
      </c>
      <c r="M198" s="460">
        <v>0</v>
      </c>
      <c r="N198" s="262"/>
      <c r="O198" s="269">
        <v>0.483333333</v>
      </c>
      <c r="P198" s="85"/>
      <c r="Q198" s="75">
        <f t="shared" si="24"/>
        <v>0</v>
      </c>
      <c r="R198" s="22">
        <f t="shared" si="25"/>
        <v>0</v>
      </c>
      <c r="S198" s="22">
        <f t="shared" si="26"/>
        <v>0</v>
      </c>
      <c r="T198" s="71">
        <f>+'Input Data'!$J$43</f>
        <v>0.65</v>
      </c>
      <c r="U198" s="75">
        <f t="shared" si="27"/>
        <v>0.4930309632305253</v>
      </c>
      <c r="V198" s="75">
        <f t="shared" si="28"/>
        <v>0.005</v>
      </c>
    </row>
    <row r="199" spans="7:22" ht="12.75">
      <c r="G199" s="272"/>
      <c r="H199" s="269">
        <v>104</v>
      </c>
      <c r="I199" s="86" t="s">
        <v>91</v>
      </c>
      <c r="J199" s="269" t="str">
        <f>+'Input Data'!I43</f>
        <v>Meas_Film</v>
      </c>
      <c r="K199" s="86"/>
      <c r="L199" s="269">
        <v>200</v>
      </c>
      <c r="M199" s="460">
        <v>0</v>
      </c>
      <c r="N199" s="262"/>
      <c r="O199" s="269">
        <v>0.483333333</v>
      </c>
      <c r="P199" s="85"/>
      <c r="Q199" s="75">
        <f t="shared" si="24"/>
        <v>0</v>
      </c>
      <c r="R199" s="22">
        <f t="shared" si="25"/>
        <v>0</v>
      </c>
      <c r="S199" s="22">
        <f t="shared" si="26"/>
        <v>0</v>
      </c>
      <c r="T199" s="71">
        <f>+'Input Data'!$J$43</f>
        <v>0.65</v>
      </c>
      <c r="U199" s="75">
        <f t="shared" si="27"/>
        <v>0.4923978362273262</v>
      </c>
      <c r="V199" s="75">
        <f t="shared" si="28"/>
        <v>0.005</v>
      </c>
    </row>
    <row r="200" spans="7:22" ht="12.75">
      <c r="G200" s="272"/>
      <c r="H200" s="269">
        <v>114</v>
      </c>
      <c r="I200" s="86" t="s">
        <v>91</v>
      </c>
      <c r="J200" s="269" t="str">
        <f>+'Input Data'!I43</f>
        <v>Meas_Film</v>
      </c>
      <c r="K200" s="86"/>
      <c r="L200" s="269">
        <v>200</v>
      </c>
      <c r="M200" s="460">
        <v>0</v>
      </c>
      <c r="N200" s="262"/>
      <c r="O200" s="269">
        <v>0.483333333</v>
      </c>
      <c r="P200" s="85"/>
      <c r="Q200" s="75">
        <f t="shared" si="24"/>
        <v>0</v>
      </c>
      <c r="R200" s="22">
        <f t="shared" si="25"/>
        <v>0</v>
      </c>
      <c r="S200" s="22">
        <f t="shared" si="26"/>
        <v>0</v>
      </c>
      <c r="T200" s="71">
        <f>+'Input Data'!$J$43</f>
        <v>0.65</v>
      </c>
      <c r="U200" s="75">
        <f t="shared" si="27"/>
        <v>0.4920464503801865</v>
      </c>
      <c r="V200" s="75">
        <f t="shared" si="28"/>
        <v>0.005</v>
      </c>
    </row>
    <row r="201" spans="7:22" ht="12.75">
      <c r="G201" s="272"/>
      <c r="H201" s="269">
        <v>116</v>
      </c>
      <c r="I201" s="86" t="s">
        <v>91</v>
      </c>
      <c r="J201" s="269" t="str">
        <f>+'Input Data'!I43</f>
        <v>Meas_Film</v>
      </c>
      <c r="K201" s="86"/>
      <c r="L201" s="269">
        <v>200</v>
      </c>
      <c r="M201" s="460">
        <v>0</v>
      </c>
      <c r="N201" s="262"/>
      <c r="O201" s="269">
        <v>0.483333333</v>
      </c>
      <c r="P201" s="85"/>
      <c r="Q201" s="75">
        <f t="shared" si="24"/>
        <v>0</v>
      </c>
      <c r="R201" s="22">
        <f t="shared" si="25"/>
        <v>0</v>
      </c>
      <c r="S201" s="22">
        <f t="shared" si="26"/>
        <v>0</v>
      </c>
      <c r="T201" s="71">
        <f>+'Input Data'!$J$43</f>
        <v>0.65</v>
      </c>
      <c r="U201" s="75">
        <f t="shared" si="27"/>
        <v>0.49197620330728015</v>
      </c>
      <c r="V201" s="75">
        <f t="shared" si="28"/>
        <v>0.005</v>
      </c>
    </row>
    <row r="202" spans="7:22" ht="12.75">
      <c r="G202" s="272"/>
      <c r="H202" s="269">
        <v>119</v>
      </c>
      <c r="I202" s="86" t="s">
        <v>91</v>
      </c>
      <c r="J202" s="269" t="str">
        <f>+'Input Data'!I43</f>
        <v>Meas_Film</v>
      </c>
      <c r="K202" s="86"/>
      <c r="L202" s="269">
        <v>200</v>
      </c>
      <c r="M202" s="460">
        <v>0</v>
      </c>
      <c r="N202" s="262"/>
      <c r="O202" s="269">
        <v>0.483333333</v>
      </c>
      <c r="P202" s="85"/>
      <c r="Q202" s="75">
        <f t="shared" si="24"/>
        <v>0</v>
      </c>
      <c r="R202" s="22">
        <f t="shared" si="25"/>
        <v>0</v>
      </c>
      <c r="S202" s="22">
        <f t="shared" si="26"/>
        <v>0</v>
      </c>
      <c r="T202" s="71">
        <f>+'Input Data'!$J$43</f>
        <v>0.65</v>
      </c>
      <c r="U202" s="75">
        <f t="shared" si="27"/>
        <v>0.49187085150153353</v>
      </c>
      <c r="V202" s="75">
        <f t="shared" si="28"/>
        <v>0.005</v>
      </c>
    </row>
    <row r="203" spans="7:22" ht="12.75">
      <c r="G203" s="272"/>
      <c r="H203" s="269">
        <v>149</v>
      </c>
      <c r="I203" s="86" t="s">
        <v>91</v>
      </c>
      <c r="J203" s="269" t="str">
        <f>+'Input Data'!I43</f>
        <v>Meas_Film</v>
      </c>
      <c r="K203" s="86"/>
      <c r="L203" s="269">
        <v>200</v>
      </c>
      <c r="M203" s="460">
        <v>0</v>
      </c>
      <c r="N203" s="262"/>
      <c r="O203" s="269">
        <v>0.483333333</v>
      </c>
      <c r="P203" s="85"/>
      <c r="Q203" s="75">
        <f t="shared" si="24"/>
        <v>0</v>
      </c>
      <c r="R203" s="22">
        <f t="shared" si="25"/>
        <v>0</v>
      </c>
      <c r="S203" s="22">
        <f t="shared" si="26"/>
        <v>0</v>
      </c>
      <c r="T203" s="71">
        <f>+'Input Data'!$J$43</f>
        <v>0.65</v>
      </c>
      <c r="U203" s="75">
        <f t="shared" si="27"/>
        <v>0.4908185734495086</v>
      </c>
      <c r="V203" s="75">
        <f t="shared" si="28"/>
        <v>0.005</v>
      </c>
    </row>
    <row r="204" spans="7:22" ht="12.75">
      <c r="G204" s="272"/>
      <c r="H204" s="269">
        <v>152</v>
      </c>
      <c r="I204" s="86" t="s">
        <v>91</v>
      </c>
      <c r="J204" s="269" t="str">
        <f>+'Input Data'!I43</f>
        <v>Meas_Film</v>
      </c>
      <c r="K204" s="86"/>
      <c r="L204" s="269">
        <v>200</v>
      </c>
      <c r="M204" s="460">
        <v>0</v>
      </c>
      <c r="N204" s="262"/>
      <c r="O204" s="269">
        <v>0.483333333</v>
      </c>
      <c r="P204" s="85"/>
      <c r="Q204" s="75">
        <f t="shared" si="24"/>
        <v>0</v>
      </c>
      <c r="R204" s="22">
        <f t="shared" si="25"/>
        <v>0</v>
      </c>
      <c r="S204" s="22">
        <f t="shared" si="26"/>
        <v>0</v>
      </c>
      <c r="T204" s="71">
        <f>+'Input Data'!$J$43</f>
        <v>0.65</v>
      </c>
      <c r="U204" s="75">
        <f t="shared" si="27"/>
        <v>0.49071346953867034</v>
      </c>
      <c r="V204" s="75">
        <f t="shared" si="28"/>
        <v>0.005</v>
      </c>
    </row>
    <row r="205" spans="7:22" ht="12.75">
      <c r="G205" s="272"/>
      <c r="H205" s="269">
        <v>182</v>
      </c>
      <c r="I205" s="86" t="s">
        <v>91</v>
      </c>
      <c r="J205" s="269" t="str">
        <f>+'Input Data'!I43</f>
        <v>Meas_Film</v>
      </c>
      <c r="K205" s="86"/>
      <c r="L205" s="269">
        <v>200</v>
      </c>
      <c r="M205" s="460">
        <v>0</v>
      </c>
      <c r="N205" s="262"/>
      <c r="O205" s="269">
        <v>0.483333333</v>
      </c>
      <c r="P205" s="85"/>
      <c r="Q205" s="75">
        <f t="shared" si="24"/>
        <v>0</v>
      </c>
      <c r="R205" s="22">
        <f t="shared" si="25"/>
        <v>0</v>
      </c>
      <c r="S205" s="22">
        <f t="shared" si="26"/>
        <v>0</v>
      </c>
      <c r="T205" s="71">
        <f>+'Input Data'!$J$43</f>
        <v>0.65</v>
      </c>
      <c r="U205" s="75">
        <f t="shared" si="27"/>
        <v>0.48966366751797274</v>
      </c>
      <c r="V205" s="75">
        <f t="shared" si="28"/>
        <v>0.005</v>
      </c>
    </row>
    <row r="206" spans="7:22" ht="12.75">
      <c r="G206" s="272"/>
      <c r="H206" s="269">
        <v>185</v>
      </c>
      <c r="I206" s="86" t="s">
        <v>91</v>
      </c>
      <c r="J206" s="269" t="str">
        <f>+'Input Data'!I43</f>
        <v>Meas_Film</v>
      </c>
      <c r="K206" s="86"/>
      <c r="L206" s="269">
        <v>200</v>
      </c>
      <c r="M206" s="460">
        <v>0</v>
      </c>
      <c r="N206" s="262"/>
      <c r="O206" s="269">
        <v>0.483333333</v>
      </c>
      <c r="P206" s="85"/>
      <c r="Q206" s="75">
        <f t="shared" si="24"/>
        <v>0</v>
      </c>
      <c r="R206" s="22">
        <f t="shared" si="25"/>
        <v>0</v>
      </c>
      <c r="S206" s="22">
        <f t="shared" si="26"/>
        <v>0</v>
      </c>
      <c r="T206" s="71">
        <f>+'Input Data'!$J$43</f>
        <v>0.65</v>
      </c>
      <c r="U206" s="75">
        <f t="shared" si="27"/>
        <v>0.48955881091874137</v>
      </c>
      <c r="V206" s="75">
        <f t="shared" si="28"/>
        <v>0.005</v>
      </c>
    </row>
    <row r="207" spans="7:22" ht="12.75">
      <c r="G207" s="272"/>
      <c r="H207" s="269">
        <v>215</v>
      </c>
      <c r="I207" s="86" t="s">
        <v>91</v>
      </c>
      <c r="J207" s="269" t="str">
        <f>+'Input Data'!I43</f>
        <v>Meas_Film</v>
      </c>
      <c r="K207" s="86"/>
      <c r="L207" s="269">
        <v>200</v>
      </c>
      <c r="M207" s="460">
        <v>0</v>
      </c>
      <c r="N207" s="262"/>
      <c r="O207" s="269">
        <v>0.483333333</v>
      </c>
      <c r="P207" s="85"/>
      <c r="Q207" s="75">
        <f t="shared" si="24"/>
        <v>0</v>
      </c>
      <c r="R207" s="22">
        <f t="shared" si="25"/>
        <v>0</v>
      </c>
      <c r="S207" s="22">
        <f t="shared" si="26"/>
        <v>0</v>
      </c>
      <c r="T207" s="71">
        <f>+'Input Data'!$J$43</f>
        <v>0.65</v>
      </c>
      <c r="U207" s="75">
        <f t="shared" si="27"/>
        <v>0.4885114791032199</v>
      </c>
      <c r="V207" s="75">
        <f t="shared" si="28"/>
        <v>0.005</v>
      </c>
    </row>
    <row r="208" spans="7:22" ht="12.75">
      <c r="G208" s="272"/>
      <c r="H208" s="269">
        <v>218</v>
      </c>
      <c r="I208" s="86" t="s">
        <v>91</v>
      </c>
      <c r="J208" s="269" t="str">
        <f>+'Input Data'!I43</f>
        <v>Meas_Film</v>
      </c>
      <c r="K208" s="86"/>
      <c r="L208" s="269">
        <v>200</v>
      </c>
      <c r="M208" s="460">
        <v>0</v>
      </c>
      <c r="N208" s="262"/>
      <c r="O208" s="269">
        <v>0.483333333</v>
      </c>
      <c r="P208" s="85"/>
      <c r="Q208" s="75">
        <f t="shared" si="24"/>
        <v>0</v>
      </c>
      <c r="R208" s="22">
        <f t="shared" si="25"/>
        <v>0</v>
      </c>
      <c r="S208" s="22">
        <f t="shared" si="26"/>
        <v>0</v>
      </c>
      <c r="T208" s="71">
        <f>+'Input Data'!$J$43</f>
        <v>0.65</v>
      </c>
      <c r="U208" s="75">
        <f t="shared" si="27"/>
        <v>0.4884068692336661</v>
      </c>
      <c r="V208" s="75">
        <f t="shared" si="28"/>
        <v>0.005</v>
      </c>
    </row>
    <row r="209" spans="7:22" ht="12.75">
      <c r="G209" s="272"/>
      <c r="H209" s="269">
        <v>246</v>
      </c>
      <c r="I209" s="86" t="s">
        <v>91</v>
      </c>
      <c r="J209" s="269" t="str">
        <f>+'Input Data'!I43</f>
        <v>Meas_Film</v>
      </c>
      <c r="K209" s="86"/>
      <c r="L209" s="269">
        <v>200</v>
      </c>
      <c r="M209" s="460">
        <v>0</v>
      </c>
      <c r="N209" s="262"/>
      <c r="O209" s="269">
        <v>0.483333333</v>
      </c>
      <c r="P209" s="85"/>
      <c r="Q209" s="75">
        <f t="shared" si="24"/>
        <v>0</v>
      </c>
      <c r="R209" s="22">
        <f t="shared" si="25"/>
        <v>0</v>
      </c>
      <c r="S209" s="22">
        <f t="shared" si="26"/>
        <v>0</v>
      </c>
      <c r="T209" s="71">
        <f>+'Input Data'!$J$43</f>
        <v>0.65</v>
      </c>
      <c r="U209" s="75">
        <f t="shared" si="27"/>
        <v>0.48743159004267256</v>
      </c>
      <c r="V209" s="75">
        <f t="shared" si="28"/>
        <v>0.005</v>
      </c>
    </row>
    <row r="210" spans="7:22" ht="12.75">
      <c r="G210" s="272"/>
      <c r="H210" s="269">
        <v>249</v>
      </c>
      <c r="I210" s="86" t="s">
        <v>91</v>
      </c>
      <c r="J210" s="269" t="str">
        <f>+'Input Data'!I43</f>
        <v>Meas_Film</v>
      </c>
      <c r="K210" s="86"/>
      <c r="L210" s="269">
        <v>200</v>
      </c>
      <c r="M210" s="460">
        <v>0</v>
      </c>
      <c r="N210" s="262"/>
      <c r="O210" s="269">
        <v>0.483333333</v>
      </c>
      <c r="P210" s="85"/>
      <c r="Q210" s="75">
        <f t="shared" si="24"/>
        <v>0</v>
      </c>
      <c r="R210" s="22">
        <f t="shared" si="25"/>
        <v>0</v>
      </c>
      <c r="S210" s="22">
        <f t="shared" si="26"/>
        <v>0</v>
      </c>
      <c r="T210" s="71">
        <f>+'Input Data'!$J$43</f>
        <v>0.65</v>
      </c>
      <c r="U210" s="75">
        <f t="shared" si="27"/>
        <v>0.4873272114206096</v>
      </c>
      <c r="V210" s="75">
        <f t="shared" si="28"/>
        <v>0.005</v>
      </c>
    </row>
    <row r="211" spans="7:22" ht="12.75">
      <c r="G211" s="272"/>
      <c r="H211" s="269">
        <v>28</v>
      </c>
      <c r="I211" s="86" t="s">
        <v>92</v>
      </c>
      <c r="J211" s="269" t="str">
        <f>+'Input Data'!I44</f>
        <v>Meas_Overlay</v>
      </c>
      <c r="K211" s="86"/>
      <c r="L211" s="269">
        <v>200</v>
      </c>
      <c r="M211" s="460">
        <v>0</v>
      </c>
      <c r="N211" s="262"/>
      <c r="O211" s="269">
        <v>1.089259259</v>
      </c>
      <c r="P211" s="85"/>
      <c r="Q211" s="75">
        <f t="shared" si="24"/>
        <v>0</v>
      </c>
      <c r="R211" s="22">
        <f t="shared" si="25"/>
        <v>0</v>
      </c>
      <c r="S211" s="22">
        <f t="shared" si="26"/>
        <v>0</v>
      </c>
      <c r="T211" s="71">
        <f>+'Input Data'!$J$44</f>
        <v>0.7</v>
      </c>
      <c r="U211" s="75">
        <f t="shared" si="27"/>
        <v>0.5775893458306249</v>
      </c>
      <c r="V211" s="75">
        <f t="shared" si="28"/>
        <v>0.005</v>
      </c>
    </row>
    <row r="212" spans="7:22" ht="12.75">
      <c r="G212" s="272"/>
      <c r="H212" s="269">
        <v>37</v>
      </c>
      <c r="I212" s="86" t="s">
        <v>92</v>
      </c>
      <c r="J212" s="269" t="str">
        <f>+'Input Data'!I44</f>
        <v>Meas_Overlay</v>
      </c>
      <c r="K212" s="86"/>
      <c r="L212" s="269">
        <v>200</v>
      </c>
      <c r="M212" s="460">
        <v>0</v>
      </c>
      <c r="N212" s="262"/>
      <c r="O212" s="269">
        <v>1.089259259</v>
      </c>
      <c r="P212" s="85"/>
      <c r="Q212" s="75">
        <f t="shared" si="24"/>
        <v>0</v>
      </c>
      <c r="R212" s="22">
        <f t="shared" si="25"/>
        <v>0</v>
      </c>
      <c r="S212" s="22">
        <f t="shared" si="26"/>
        <v>0</v>
      </c>
      <c r="T212" s="71">
        <f>+'Input Data'!$J$44</f>
        <v>0.7</v>
      </c>
      <c r="U212" s="75">
        <f t="shared" si="27"/>
        <v>0.5772183702591716</v>
      </c>
      <c r="V212" s="75">
        <f t="shared" si="28"/>
        <v>0.005</v>
      </c>
    </row>
    <row r="213" spans="7:22" ht="12.75">
      <c r="G213" s="272"/>
      <c r="H213" s="269">
        <v>52</v>
      </c>
      <c r="I213" s="86" t="s">
        <v>92</v>
      </c>
      <c r="J213" s="269" t="str">
        <f>+'Input Data'!I44</f>
        <v>Meas_Overlay</v>
      </c>
      <c r="K213" s="86"/>
      <c r="L213" s="269">
        <v>200</v>
      </c>
      <c r="M213" s="460">
        <v>0</v>
      </c>
      <c r="N213" s="262"/>
      <c r="O213" s="269">
        <v>1.089259259</v>
      </c>
      <c r="P213" s="85"/>
      <c r="Q213" s="75">
        <f t="shared" si="24"/>
        <v>0</v>
      </c>
      <c r="R213" s="22">
        <f t="shared" si="25"/>
        <v>0</v>
      </c>
      <c r="S213" s="22">
        <f t="shared" si="26"/>
        <v>0</v>
      </c>
      <c r="T213" s="71">
        <f>+'Input Data'!$J$44</f>
        <v>0.7</v>
      </c>
      <c r="U213" s="75">
        <f t="shared" si="27"/>
        <v>0.5766006070559371</v>
      </c>
      <c r="V213" s="75">
        <f t="shared" si="28"/>
        <v>0.005</v>
      </c>
    </row>
    <row r="214" spans="7:22" ht="12.75">
      <c r="G214" s="272"/>
      <c r="H214" s="269">
        <v>66</v>
      </c>
      <c r="I214" s="86" t="s">
        <v>92</v>
      </c>
      <c r="J214" s="269" t="str">
        <f>+'Input Data'!I44</f>
        <v>Meas_Overlay</v>
      </c>
      <c r="K214" s="86"/>
      <c r="L214" s="269">
        <v>200</v>
      </c>
      <c r="M214" s="460">
        <v>0</v>
      </c>
      <c r="N214" s="262"/>
      <c r="O214" s="269">
        <v>1.089259259</v>
      </c>
      <c r="P214" s="85"/>
      <c r="Q214" s="75">
        <f t="shared" si="24"/>
        <v>0</v>
      </c>
      <c r="R214" s="22">
        <f t="shared" si="25"/>
        <v>0</v>
      </c>
      <c r="S214" s="22">
        <f t="shared" si="26"/>
        <v>0</v>
      </c>
      <c r="T214" s="71">
        <f>+'Input Data'!$J$44</f>
        <v>0.7</v>
      </c>
      <c r="U214" s="75">
        <f t="shared" si="27"/>
        <v>0.5760246245900568</v>
      </c>
      <c r="V214" s="75">
        <f t="shared" si="28"/>
        <v>0.005</v>
      </c>
    </row>
    <row r="215" spans="7:22" ht="12.75">
      <c r="G215" s="272"/>
      <c r="H215" s="269">
        <v>73</v>
      </c>
      <c r="I215" s="86" t="s">
        <v>92</v>
      </c>
      <c r="J215" s="269" t="str">
        <f>+'Input Data'!I44</f>
        <v>Meas_Overlay</v>
      </c>
      <c r="K215" s="86"/>
      <c r="L215" s="269">
        <v>200</v>
      </c>
      <c r="M215" s="460">
        <v>0</v>
      </c>
      <c r="N215" s="262"/>
      <c r="O215" s="269">
        <v>1.089259259</v>
      </c>
      <c r="P215" s="85"/>
      <c r="Q215" s="75">
        <f t="shared" si="24"/>
        <v>0</v>
      </c>
      <c r="R215" s="22">
        <f t="shared" si="25"/>
        <v>0</v>
      </c>
      <c r="S215" s="22">
        <f t="shared" si="26"/>
        <v>0</v>
      </c>
      <c r="T215" s="71">
        <f>+'Input Data'!$J$44</f>
        <v>0.7</v>
      </c>
      <c r="U215" s="75">
        <f t="shared" si="27"/>
        <v>0.5757368491549222</v>
      </c>
      <c r="V215" s="75">
        <f t="shared" si="28"/>
        <v>0.005</v>
      </c>
    </row>
    <row r="216" spans="7:22" ht="12.75">
      <c r="G216" s="272"/>
      <c r="H216" s="269">
        <v>88</v>
      </c>
      <c r="I216" s="86" t="s">
        <v>92</v>
      </c>
      <c r="J216" s="269" t="str">
        <f>+'Input Data'!I44</f>
        <v>Meas_Overlay</v>
      </c>
      <c r="K216" s="86"/>
      <c r="L216" s="269">
        <v>200</v>
      </c>
      <c r="M216" s="460">
        <v>0</v>
      </c>
      <c r="N216" s="262"/>
      <c r="O216" s="269">
        <v>1.089259259</v>
      </c>
      <c r="P216" s="85"/>
      <c r="Q216" s="75">
        <f t="shared" si="24"/>
        <v>0</v>
      </c>
      <c r="R216" s="22">
        <f t="shared" si="25"/>
        <v>0</v>
      </c>
      <c r="S216" s="22">
        <f t="shared" si="26"/>
        <v>0</v>
      </c>
      <c r="T216" s="71">
        <f>+'Input Data'!$J$44</f>
        <v>0.7</v>
      </c>
      <c r="U216" s="75">
        <f t="shared" si="27"/>
        <v>0.5751206715374386</v>
      </c>
      <c r="V216" s="75">
        <f t="shared" si="28"/>
        <v>0.005</v>
      </c>
    </row>
    <row r="217" spans="7:22" ht="12.75">
      <c r="G217" s="272"/>
      <c r="H217" s="269">
        <v>95</v>
      </c>
      <c r="I217" s="86" t="s">
        <v>92</v>
      </c>
      <c r="J217" s="269" t="str">
        <f>+'Input Data'!I44</f>
        <v>Meas_Overlay</v>
      </c>
      <c r="K217" s="86"/>
      <c r="L217" s="269">
        <v>200</v>
      </c>
      <c r="M217" s="460">
        <v>0</v>
      </c>
      <c r="N217" s="262"/>
      <c r="O217" s="269">
        <v>1.089259259</v>
      </c>
      <c r="P217" s="85"/>
      <c r="Q217" s="75">
        <f t="shared" si="24"/>
        <v>0</v>
      </c>
      <c r="R217" s="22">
        <f t="shared" si="25"/>
        <v>0</v>
      </c>
      <c r="S217" s="22">
        <f t="shared" si="26"/>
        <v>0</v>
      </c>
      <c r="T217" s="71">
        <f>+'Input Data'!$J$44</f>
        <v>0.7</v>
      </c>
      <c r="U217" s="75">
        <f t="shared" si="27"/>
        <v>0.5748333477070999</v>
      </c>
      <c r="V217" s="75">
        <f t="shared" si="28"/>
        <v>0.005</v>
      </c>
    </row>
    <row r="218" spans="7:22" ht="12.75">
      <c r="G218" s="272"/>
      <c r="H218" s="269">
        <v>123</v>
      </c>
      <c r="I218" s="86" t="s">
        <v>92</v>
      </c>
      <c r="J218" s="269" t="str">
        <f>+'Input Data'!I44</f>
        <v>Meas_Overlay</v>
      </c>
      <c r="K218" s="86"/>
      <c r="L218" s="269">
        <v>200</v>
      </c>
      <c r="M218" s="460">
        <v>0</v>
      </c>
      <c r="N218" s="262"/>
      <c r="O218" s="269">
        <v>1.089259259</v>
      </c>
      <c r="P218" s="85"/>
      <c r="Q218" s="75">
        <f t="shared" si="24"/>
        <v>0</v>
      </c>
      <c r="R218" s="22">
        <f t="shared" si="25"/>
        <v>0</v>
      </c>
      <c r="S218" s="22">
        <f t="shared" si="26"/>
        <v>0</v>
      </c>
      <c r="T218" s="71">
        <f>+'Input Data'!$J$44</f>
        <v>0.7</v>
      </c>
      <c r="U218" s="75">
        <f t="shared" si="27"/>
        <v>0.5736854871063931</v>
      </c>
      <c r="V218" s="75">
        <f t="shared" si="28"/>
        <v>0.005</v>
      </c>
    </row>
    <row r="219" spans="7:22" ht="12.75">
      <c r="G219" s="272"/>
      <c r="H219" s="269">
        <v>137</v>
      </c>
      <c r="I219" s="86" t="s">
        <v>92</v>
      </c>
      <c r="J219" s="269" t="str">
        <f>+'Input Data'!I44</f>
        <v>Meas_Overlay</v>
      </c>
      <c r="K219" s="86"/>
      <c r="L219" s="269">
        <v>200</v>
      </c>
      <c r="M219" s="460">
        <v>0</v>
      </c>
      <c r="N219" s="262"/>
      <c r="O219" s="269">
        <v>1.089259259</v>
      </c>
      <c r="P219" s="85"/>
      <c r="Q219" s="75">
        <f aca="true" t="shared" si="29" ref="Q219:Q282">+WS*LY^(($H219-1)/$B$24)*P219</f>
        <v>0</v>
      </c>
      <c r="R219" s="22">
        <f t="shared" si="25"/>
        <v>0</v>
      </c>
      <c r="S219" s="22">
        <f t="shared" si="26"/>
        <v>0</v>
      </c>
      <c r="T219" s="71">
        <f>+'Input Data'!$J$44</f>
        <v>0.7</v>
      </c>
      <c r="U219" s="75">
        <f t="shared" si="27"/>
        <v>0.5731124166353259</v>
      </c>
      <c r="V219" s="75">
        <f t="shared" si="28"/>
        <v>0.005</v>
      </c>
    </row>
    <row r="220" spans="7:22" ht="12.75">
      <c r="G220" s="272"/>
      <c r="H220" s="269">
        <v>155</v>
      </c>
      <c r="I220" s="86" t="s">
        <v>92</v>
      </c>
      <c r="J220" s="269" t="str">
        <f>+'Input Data'!I44</f>
        <v>Meas_Overlay</v>
      </c>
      <c r="K220" s="86"/>
      <c r="L220" s="269">
        <v>200</v>
      </c>
      <c r="M220" s="460">
        <v>0</v>
      </c>
      <c r="N220" s="262"/>
      <c r="O220" s="269">
        <v>1.089259259</v>
      </c>
      <c r="P220" s="85"/>
      <c r="Q220" s="75">
        <f t="shared" si="29"/>
        <v>0</v>
      </c>
      <c r="R220" s="22">
        <f t="shared" si="25"/>
        <v>0</v>
      </c>
      <c r="S220" s="22">
        <f t="shared" si="26"/>
        <v>0</v>
      </c>
      <c r="T220" s="71">
        <f>+'Input Data'!$J$44</f>
        <v>0.7</v>
      </c>
      <c r="U220" s="75">
        <f t="shared" si="27"/>
        <v>0.5723764528239196</v>
      </c>
      <c r="V220" s="75">
        <f t="shared" si="28"/>
        <v>0.005</v>
      </c>
    </row>
    <row r="221" spans="7:22" ht="12.75">
      <c r="G221" s="272"/>
      <c r="H221" s="269">
        <v>170</v>
      </c>
      <c r="I221" s="86" t="s">
        <v>92</v>
      </c>
      <c r="J221" s="269" t="str">
        <f>+'Input Data'!I44</f>
        <v>Meas_Overlay</v>
      </c>
      <c r="K221" s="86"/>
      <c r="L221" s="269">
        <v>200</v>
      </c>
      <c r="M221" s="460">
        <v>0</v>
      </c>
      <c r="N221" s="262"/>
      <c r="O221" s="269">
        <v>1.089259259</v>
      </c>
      <c r="P221" s="85"/>
      <c r="Q221" s="75">
        <f t="shared" si="29"/>
        <v>0</v>
      </c>
      <c r="R221" s="22">
        <f t="shared" si="25"/>
        <v>0</v>
      </c>
      <c r="S221" s="22">
        <f t="shared" si="26"/>
        <v>0</v>
      </c>
      <c r="T221" s="71">
        <f>+'Input Data'!$J$44</f>
        <v>0.7</v>
      </c>
      <c r="U221" s="75">
        <f t="shared" si="27"/>
        <v>0.5717638716429123</v>
      </c>
      <c r="V221" s="75">
        <f t="shared" si="28"/>
        <v>0.005</v>
      </c>
    </row>
    <row r="222" spans="7:22" ht="12.75">
      <c r="G222" s="272"/>
      <c r="H222" s="269">
        <v>188</v>
      </c>
      <c r="I222" s="86" t="s">
        <v>92</v>
      </c>
      <c r="J222" s="269" t="str">
        <f>+'Input Data'!I44</f>
        <v>Meas_Overlay</v>
      </c>
      <c r="K222" s="86"/>
      <c r="L222" s="269">
        <v>200</v>
      </c>
      <c r="M222" s="460">
        <v>0</v>
      </c>
      <c r="N222" s="262"/>
      <c r="O222" s="269">
        <v>1.089259259</v>
      </c>
      <c r="P222" s="85"/>
      <c r="Q222" s="75">
        <f t="shared" si="29"/>
        <v>0</v>
      </c>
      <c r="R222" s="22">
        <f t="shared" si="25"/>
        <v>0</v>
      </c>
      <c r="S222" s="22">
        <f t="shared" si="26"/>
        <v>0</v>
      </c>
      <c r="T222" s="71">
        <f>+'Input Data'!$J$44</f>
        <v>0.7</v>
      </c>
      <c r="U222" s="75">
        <f t="shared" si="27"/>
        <v>0.5710296395690911</v>
      </c>
      <c r="V222" s="75">
        <f t="shared" si="28"/>
        <v>0.005</v>
      </c>
    </row>
    <row r="223" spans="7:22" ht="12.75">
      <c r="G223" s="272"/>
      <c r="H223" s="269">
        <v>203</v>
      </c>
      <c r="I223" s="86" t="s">
        <v>92</v>
      </c>
      <c r="J223" s="269" t="str">
        <f>+'Input Data'!I44</f>
        <v>Meas_Overlay</v>
      </c>
      <c r="K223" s="86"/>
      <c r="L223" s="269">
        <v>200</v>
      </c>
      <c r="M223" s="460">
        <v>0</v>
      </c>
      <c r="N223" s="262"/>
      <c r="O223" s="269">
        <v>1.089259259</v>
      </c>
      <c r="P223" s="85"/>
      <c r="Q223" s="75">
        <f t="shared" si="29"/>
        <v>0</v>
      </c>
      <c r="R223" s="22">
        <f t="shared" si="25"/>
        <v>0</v>
      </c>
      <c r="S223" s="22">
        <f t="shared" si="26"/>
        <v>0</v>
      </c>
      <c r="T223" s="71">
        <f>+'Input Data'!$J$44</f>
        <v>0.7</v>
      </c>
      <c r="U223" s="75">
        <f t="shared" si="27"/>
        <v>0.5704184998038692</v>
      </c>
      <c r="V223" s="75">
        <f t="shared" si="28"/>
        <v>0.005</v>
      </c>
    </row>
    <row r="224" spans="7:22" ht="12.75">
      <c r="G224" s="272"/>
      <c r="H224" s="269">
        <v>221</v>
      </c>
      <c r="I224" s="86" t="s">
        <v>92</v>
      </c>
      <c r="J224" s="269" t="str">
        <f>+'Input Data'!I44</f>
        <v>Meas_Overlay</v>
      </c>
      <c r="K224" s="86"/>
      <c r="L224" s="269">
        <v>200</v>
      </c>
      <c r="M224" s="460">
        <v>0</v>
      </c>
      <c r="N224" s="262"/>
      <c r="O224" s="269">
        <v>1.089259259</v>
      </c>
      <c r="P224" s="85"/>
      <c r="Q224" s="75">
        <f t="shared" si="29"/>
        <v>0</v>
      </c>
      <c r="R224" s="22">
        <f t="shared" si="25"/>
        <v>0</v>
      </c>
      <c r="S224" s="22">
        <f t="shared" si="26"/>
        <v>0</v>
      </c>
      <c r="T224" s="71">
        <f>+'Input Data'!$J$44</f>
        <v>0.7</v>
      </c>
      <c r="U224" s="75">
        <f t="shared" si="27"/>
        <v>0.56968599539282</v>
      </c>
      <c r="V224" s="75">
        <f t="shared" si="28"/>
        <v>0.005</v>
      </c>
    </row>
    <row r="225" spans="7:22" ht="12.75">
      <c r="G225" s="272"/>
      <c r="H225" s="269">
        <v>235</v>
      </c>
      <c r="I225" s="86" t="s">
        <v>92</v>
      </c>
      <c r="J225" s="269" t="str">
        <f>+'Input Data'!I44</f>
        <v>Meas_Overlay</v>
      </c>
      <c r="K225" s="86"/>
      <c r="L225" s="269">
        <v>200</v>
      </c>
      <c r="M225" s="460">
        <v>0</v>
      </c>
      <c r="N225" s="262"/>
      <c r="O225" s="269">
        <v>1.089259259</v>
      </c>
      <c r="P225" s="85"/>
      <c r="Q225" s="75">
        <f t="shared" si="29"/>
        <v>0</v>
      </c>
      <c r="R225" s="22">
        <f t="shared" si="25"/>
        <v>0</v>
      </c>
      <c r="S225" s="22">
        <f t="shared" si="26"/>
        <v>0</v>
      </c>
      <c r="T225" s="71">
        <f>+'Input Data'!$J$44</f>
        <v>0.7</v>
      </c>
      <c r="U225" s="75">
        <f t="shared" si="27"/>
        <v>0.5691169201258356</v>
      </c>
      <c r="V225" s="75">
        <f t="shared" si="28"/>
        <v>0.005</v>
      </c>
    </row>
    <row r="226" spans="7:22" ht="12.75">
      <c r="G226" s="272"/>
      <c r="H226" s="269">
        <v>252</v>
      </c>
      <c r="I226" s="86" t="s">
        <v>92</v>
      </c>
      <c r="J226" s="269" t="str">
        <f>+'Input Data'!I44</f>
        <v>Meas_Overlay</v>
      </c>
      <c r="K226" s="86"/>
      <c r="L226" s="269">
        <v>200</v>
      </c>
      <c r="M226" s="460">
        <v>0</v>
      </c>
      <c r="N226" s="262"/>
      <c r="O226" s="269">
        <v>1.089259259</v>
      </c>
      <c r="P226" s="85"/>
      <c r="Q226" s="75">
        <f t="shared" si="29"/>
        <v>0</v>
      </c>
      <c r="R226" s="22">
        <f t="shared" si="25"/>
        <v>0</v>
      </c>
      <c r="S226" s="22">
        <f t="shared" si="26"/>
        <v>0</v>
      </c>
      <c r="T226" s="71">
        <f>+'Input Data'!$J$44</f>
        <v>0.7</v>
      </c>
      <c r="U226" s="75">
        <f t="shared" si="27"/>
        <v>0.5684266643418876</v>
      </c>
      <c r="V226" s="75">
        <f t="shared" si="28"/>
        <v>0.005</v>
      </c>
    </row>
    <row r="227" spans="7:22" ht="12.75">
      <c r="G227" s="272"/>
      <c r="H227" s="269">
        <v>266</v>
      </c>
      <c r="I227" s="86" t="s">
        <v>92</v>
      </c>
      <c r="J227" s="269" t="str">
        <f>+'Input Data'!I44</f>
        <v>Meas_Overlay</v>
      </c>
      <c r="K227" s="86"/>
      <c r="L227" s="269">
        <v>200</v>
      </c>
      <c r="M227" s="460">
        <v>0</v>
      </c>
      <c r="N227" s="262"/>
      <c r="O227" s="269">
        <v>1.089259259</v>
      </c>
      <c r="P227" s="85"/>
      <c r="Q227" s="75">
        <f t="shared" si="29"/>
        <v>0</v>
      </c>
      <c r="R227" s="22">
        <f t="shared" si="25"/>
        <v>0</v>
      </c>
      <c r="S227" s="22">
        <f t="shared" si="26"/>
        <v>0</v>
      </c>
      <c r="T227" s="71">
        <f>+'Input Data'!$J$44</f>
        <v>0.7</v>
      </c>
      <c r="U227" s="75">
        <f t="shared" si="27"/>
        <v>0.5678588470558958</v>
      </c>
      <c r="V227" s="75">
        <f t="shared" si="28"/>
        <v>0.005</v>
      </c>
    </row>
    <row r="228" spans="7:22" ht="12.75">
      <c r="G228" s="272"/>
      <c r="H228" s="269">
        <v>278</v>
      </c>
      <c r="I228" s="86" t="s">
        <v>92</v>
      </c>
      <c r="J228" s="269" t="str">
        <f>+'Input Data'!I44</f>
        <v>Meas_Overlay</v>
      </c>
      <c r="K228" s="86"/>
      <c r="L228" s="269">
        <v>200</v>
      </c>
      <c r="M228" s="460">
        <v>0</v>
      </c>
      <c r="N228" s="262"/>
      <c r="O228" s="269">
        <v>1.089259259</v>
      </c>
      <c r="P228" s="85"/>
      <c r="Q228" s="75">
        <f t="shared" si="29"/>
        <v>0</v>
      </c>
      <c r="R228" s="22">
        <f t="shared" si="25"/>
        <v>0</v>
      </c>
      <c r="S228" s="22">
        <f t="shared" si="26"/>
        <v>0</v>
      </c>
      <c r="T228" s="71">
        <f>+'Input Data'!$J$44</f>
        <v>0.7</v>
      </c>
      <c r="U228" s="75">
        <f t="shared" si="27"/>
        <v>0.5673725979982384</v>
      </c>
      <c r="V228" s="75">
        <f t="shared" si="28"/>
        <v>0.005</v>
      </c>
    </row>
    <row r="229" spans="7:22" ht="12.75">
      <c r="G229" s="272"/>
      <c r="H229" s="269">
        <v>108</v>
      </c>
      <c r="I229" s="86" t="s">
        <v>93</v>
      </c>
      <c r="J229" s="269" t="str">
        <f>+'Input Data'!I45</f>
        <v>PVD_Met</v>
      </c>
      <c r="K229" s="86"/>
      <c r="L229" s="269">
        <v>60</v>
      </c>
      <c r="M229" s="460">
        <v>1.5</v>
      </c>
      <c r="N229" s="262"/>
      <c r="O229" s="269">
        <v>3.204055556</v>
      </c>
      <c r="P229" s="85"/>
      <c r="Q229" s="75">
        <f t="shared" si="29"/>
        <v>0</v>
      </c>
      <c r="R229" s="22">
        <f t="shared" si="25"/>
        <v>37214.648235038156</v>
      </c>
      <c r="S229" s="22">
        <f t="shared" si="26"/>
        <v>0</v>
      </c>
      <c r="T229" s="71">
        <f>+'Input Data'!$J$45</f>
        <v>0.49</v>
      </c>
      <c r="U229" s="75">
        <f t="shared" si="27"/>
        <v>1.12607868055671</v>
      </c>
      <c r="V229" s="75">
        <f t="shared" si="28"/>
        <v>0.016666666666666666</v>
      </c>
    </row>
    <row r="230" spans="7:22" ht="12.75">
      <c r="G230" s="272"/>
      <c r="H230" s="269">
        <v>134</v>
      </c>
      <c r="I230" s="86" t="s">
        <v>94</v>
      </c>
      <c r="J230" s="269" t="str">
        <f>+'Input Data'!I46</f>
        <v>PVD_Met(C) </v>
      </c>
      <c r="K230" s="86"/>
      <c r="L230" s="269">
        <v>40</v>
      </c>
      <c r="M230" s="460">
        <v>1.5</v>
      </c>
      <c r="N230" s="262"/>
      <c r="O230" s="269">
        <v>3.204055556</v>
      </c>
      <c r="P230" s="85"/>
      <c r="Q230" s="75">
        <f t="shared" si="29"/>
        <v>0</v>
      </c>
      <c r="R230" s="22">
        <f t="shared" si="25"/>
        <v>37145.63896672608</v>
      </c>
      <c r="S230" s="22">
        <f t="shared" si="26"/>
        <v>0</v>
      </c>
      <c r="T230" s="71">
        <f>+'Input Data'!$J$46</f>
        <v>0.49</v>
      </c>
      <c r="U230" s="75">
        <f t="shared" si="27"/>
        <v>1.6859857918811767</v>
      </c>
      <c r="V230" s="75">
        <f t="shared" si="28"/>
        <v>0.025</v>
      </c>
    </row>
    <row r="231" spans="7:22" ht="12.75">
      <c r="G231" s="272"/>
      <c r="H231" s="269">
        <v>167</v>
      </c>
      <c r="I231" s="86" t="s">
        <v>94</v>
      </c>
      <c r="J231" s="269" t="str">
        <f>+'Input Data'!I46</f>
        <v>PVD_Met(C) </v>
      </c>
      <c r="K231" s="86"/>
      <c r="L231" s="269">
        <v>40</v>
      </c>
      <c r="M231" s="460">
        <v>1.5</v>
      </c>
      <c r="N231" s="262"/>
      <c r="O231" s="269">
        <v>3.204055556</v>
      </c>
      <c r="P231" s="85"/>
      <c r="Q231" s="75">
        <f t="shared" si="29"/>
        <v>0</v>
      </c>
      <c r="R231" s="22">
        <f t="shared" si="25"/>
        <v>37058.23453442872</v>
      </c>
      <c r="S231" s="22">
        <f t="shared" si="26"/>
        <v>0</v>
      </c>
      <c r="T231" s="71">
        <f>+'Input Data'!$J$46</f>
        <v>0.49</v>
      </c>
      <c r="U231" s="75">
        <f t="shared" si="27"/>
        <v>1.682018633552502</v>
      </c>
      <c r="V231" s="75">
        <f t="shared" si="28"/>
        <v>0.025</v>
      </c>
    </row>
    <row r="232" spans="7:22" ht="12.75">
      <c r="G232" s="272"/>
      <c r="H232" s="269">
        <v>200</v>
      </c>
      <c r="I232" s="86" t="s">
        <v>94</v>
      </c>
      <c r="J232" s="269" t="str">
        <f>+'Input Data'!I46</f>
        <v>PVD_Met(C) </v>
      </c>
      <c r="K232" s="86"/>
      <c r="L232" s="269">
        <v>40</v>
      </c>
      <c r="M232" s="460">
        <v>1.5</v>
      </c>
      <c r="N232" s="262"/>
      <c r="O232" s="269">
        <v>3.204055556</v>
      </c>
      <c r="P232" s="85"/>
      <c r="Q232" s="75">
        <f t="shared" si="29"/>
        <v>0</v>
      </c>
      <c r="R232" s="22">
        <f t="shared" si="25"/>
        <v>36971.03576651074</v>
      </c>
      <c r="S232" s="22">
        <f t="shared" si="26"/>
        <v>0</v>
      </c>
      <c r="T232" s="71">
        <f>+'Input Data'!$J$46</f>
        <v>0.49</v>
      </c>
      <c r="U232" s="75">
        <f t="shared" si="27"/>
        <v>1.6780608100268128</v>
      </c>
      <c r="V232" s="75">
        <f t="shared" si="28"/>
        <v>0.025</v>
      </c>
    </row>
    <row r="233" spans="7:22" ht="12.75">
      <c r="G233" s="272"/>
      <c r="H233" s="269">
        <v>233</v>
      </c>
      <c r="I233" s="86" t="s">
        <v>94</v>
      </c>
      <c r="J233" s="269" t="str">
        <f>+'Input Data'!I46</f>
        <v>PVD_Met(C) </v>
      </c>
      <c r="K233" s="86"/>
      <c r="L233" s="269">
        <v>40</v>
      </c>
      <c r="M233" s="460">
        <v>1.5</v>
      </c>
      <c r="N233" s="262"/>
      <c r="O233" s="269">
        <v>3.204055556</v>
      </c>
      <c r="P233" s="85"/>
      <c r="Q233" s="75">
        <f t="shared" si="29"/>
        <v>0</v>
      </c>
      <c r="R233" s="22">
        <f t="shared" si="25"/>
        <v>36884.04217903975</v>
      </c>
      <c r="S233" s="22">
        <f t="shared" si="26"/>
        <v>0</v>
      </c>
      <c r="T233" s="71">
        <f>+'Input Data'!$J$46</f>
        <v>0.49</v>
      </c>
      <c r="U233" s="75">
        <f t="shared" si="27"/>
        <v>1.6741122993391317</v>
      </c>
      <c r="V233" s="75">
        <f t="shared" si="28"/>
        <v>0.025</v>
      </c>
    </row>
    <row r="234" spans="7:22" ht="12.75">
      <c r="G234" s="272"/>
      <c r="H234" s="269">
        <v>264</v>
      </c>
      <c r="I234" s="86" t="s">
        <v>94</v>
      </c>
      <c r="J234" s="269" t="str">
        <f>+'Input Data'!I46</f>
        <v>PVD_Met(C) </v>
      </c>
      <c r="K234" s="86"/>
      <c r="L234" s="269">
        <v>40</v>
      </c>
      <c r="M234" s="460">
        <v>1.5</v>
      </c>
      <c r="N234" s="262"/>
      <c r="O234" s="269">
        <v>3.204055556</v>
      </c>
      <c r="P234" s="85"/>
      <c r="Q234" s="75">
        <f t="shared" si="29"/>
        <v>0</v>
      </c>
      <c r="R234" s="22">
        <f t="shared" si="25"/>
        <v>36802.50740378529</v>
      </c>
      <c r="S234" s="22">
        <f t="shared" si="26"/>
        <v>0</v>
      </c>
      <c r="T234" s="71">
        <f>+'Input Data'!$J$46</f>
        <v>0.49</v>
      </c>
      <c r="U234" s="75">
        <f t="shared" si="27"/>
        <v>1.6704115560904724</v>
      </c>
      <c r="V234" s="75">
        <f t="shared" si="28"/>
        <v>0.025</v>
      </c>
    </row>
    <row r="235" spans="7:22" ht="12.75">
      <c r="G235" s="272"/>
      <c r="H235" s="269">
        <v>110</v>
      </c>
      <c r="I235" s="86" t="s">
        <v>95</v>
      </c>
      <c r="J235" s="269" t="str">
        <f>+'Input Data'!I47</f>
        <v>RTP_OxAn(C) </v>
      </c>
      <c r="K235" s="86"/>
      <c r="L235" s="269">
        <v>50</v>
      </c>
      <c r="M235" s="460">
        <v>0.5</v>
      </c>
      <c r="N235" s="262"/>
      <c r="O235" s="269">
        <v>3.204055556</v>
      </c>
      <c r="P235" s="85"/>
      <c r="Q235" s="75">
        <f t="shared" si="29"/>
        <v>0</v>
      </c>
      <c r="R235" s="22">
        <f t="shared" si="25"/>
        <v>12403.111760379234</v>
      </c>
      <c r="S235" s="22">
        <f t="shared" si="26"/>
        <v>0</v>
      </c>
      <c r="T235" s="71">
        <f>+'Input Data'!$J$47</f>
        <v>0.43000000000000005</v>
      </c>
      <c r="U235" s="75">
        <f t="shared" si="27"/>
        <v>1.2088802885359877</v>
      </c>
      <c r="V235" s="75">
        <f t="shared" si="28"/>
        <v>0.02</v>
      </c>
    </row>
    <row r="236" spans="7:22" ht="12.75">
      <c r="G236" s="272"/>
      <c r="H236" s="269">
        <v>112</v>
      </c>
      <c r="I236" s="86" t="s">
        <v>96</v>
      </c>
      <c r="J236" s="269" t="str">
        <f>+'Input Data'!I47</f>
        <v>RTP_OxAn(C) </v>
      </c>
      <c r="K236" s="86"/>
      <c r="L236" s="269">
        <v>50</v>
      </c>
      <c r="M236" s="460">
        <v>0.5</v>
      </c>
      <c r="N236" s="262"/>
      <c r="O236" s="269">
        <v>3.204055556</v>
      </c>
      <c r="P236" s="85"/>
      <c r="Q236" s="75">
        <f t="shared" si="29"/>
        <v>0</v>
      </c>
      <c r="R236" s="22">
        <f t="shared" si="25"/>
        <v>12401.341028580593</v>
      </c>
      <c r="S236" s="22">
        <f t="shared" si="26"/>
        <v>0</v>
      </c>
      <c r="T236" s="71">
        <f>+'Input Data'!$J$47</f>
        <v>0.43000000000000005</v>
      </c>
      <c r="U236" s="75">
        <f t="shared" si="27"/>
        <v>1.2087077025907011</v>
      </c>
      <c r="V236" s="75">
        <f t="shared" si="28"/>
        <v>0.02</v>
      </c>
    </row>
    <row r="237" spans="7:22" ht="12.75">
      <c r="G237" s="272"/>
      <c r="H237" s="269">
        <v>146</v>
      </c>
      <c r="I237" s="86" t="s">
        <v>97</v>
      </c>
      <c r="J237" s="269" t="str">
        <f>+'Input Data'!I48</f>
        <v>Test</v>
      </c>
      <c r="K237" s="86"/>
      <c r="L237" s="269">
        <v>25</v>
      </c>
      <c r="M237" s="460">
        <v>0</v>
      </c>
      <c r="N237" s="262"/>
      <c r="O237" s="269">
        <v>1.001944444</v>
      </c>
      <c r="P237" s="85"/>
      <c r="Q237" s="75">
        <f t="shared" si="29"/>
        <v>0</v>
      </c>
      <c r="R237" s="22">
        <f t="shared" si="25"/>
        <v>0</v>
      </c>
      <c r="S237" s="22">
        <f t="shared" si="26"/>
        <v>0</v>
      </c>
      <c r="T237" s="71">
        <f>+'Input Data'!$J$48</f>
        <v>0.61</v>
      </c>
      <c r="U237" s="75">
        <f t="shared" si="27"/>
        <v>3.5245804093383217</v>
      </c>
      <c r="V237" s="75">
        <f t="shared" si="28"/>
        <v>0.04</v>
      </c>
    </row>
    <row r="238" spans="7:22" ht="12.75">
      <c r="G238" s="272"/>
      <c r="H238" s="269">
        <v>179</v>
      </c>
      <c r="I238" s="86" t="s">
        <v>97</v>
      </c>
      <c r="J238" s="269" t="str">
        <f>+'Input Data'!I48</f>
        <v>Test</v>
      </c>
      <c r="K238" s="86"/>
      <c r="L238" s="269">
        <v>25</v>
      </c>
      <c r="M238" s="460">
        <v>0</v>
      </c>
      <c r="N238" s="262"/>
      <c r="O238" s="269">
        <v>1.001944444</v>
      </c>
      <c r="P238" s="85"/>
      <c r="Q238" s="75">
        <f t="shared" si="29"/>
        <v>0</v>
      </c>
      <c r="R238" s="22">
        <f t="shared" si="25"/>
        <v>0</v>
      </c>
      <c r="S238" s="22">
        <f t="shared" si="26"/>
        <v>0</v>
      </c>
      <c r="T238" s="71">
        <f>+'Input Data'!$J$48</f>
        <v>0.61</v>
      </c>
      <c r="U238" s="75">
        <f t="shared" si="27"/>
        <v>3.5162870010585343</v>
      </c>
      <c r="V238" s="75">
        <f t="shared" si="28"/>
        <v>0.04</v>
      </c>
    </row>
    <row r="239" spans="7:22" ht="12.75">
      <c r="G239" s="272"/>
      <c r="H239" s="269">
        <v>212</v>
      </c>
      <c r="I239" s="86" t="s">
        <v>97</v>
      </c>
      <c r="J239" s="269" t="str">
        <f>+'Input Data'!I48</f>
        <v>Test</v>
      </c>
      <c r="K239" s="86"/>
      <c r="L239" s="269">
        <v>25</v>
      </c>
      <c r="M239" s="460">
        <v>0</v>
      </c>
      <c r="N239" s="262"/>
      <c r="O239" s="269">
        <v>1.001944444</v>
      </c>
      <c r="P239" s="85"/>
      <c r="Q239" s="75">
        <f t="shared" si="29"/>
        <v>0</v>
      </c>
      <c r="R239" s="22">
        <f t="shared" si="25"/>
        <v>0</v>
      </c>
      <c r="S239" s="22">
        <f t="shared" si="26"/>
        <v>0</v>
      </c>
      <c r="T239" s="71">
        <f>+'Input Data'!$J$48</f>
        <v>0.61</v>
      </c>
      <c r="U239" s="75">
        <f t="shared" si="27"/>
        <v>3.508013107334498</v>
      </c>
      <c r="V239" s="75">
        <f t="shared" si="28"/>
        <v>0.04</v>
      </c>
    </row>
    <row r="240" spans="7:22" ht="12.75">
      <c r="G240" s="272"/>
      <c r="H240" s="269">
        <v>243</v>
      </c>
      <c r="I240" s="86" t="s">
        <v>97</v>
      </c>
      <c r="J240" s="269" t="str">
        <f>+'Input Data'!I48</f>
        <v>Test</v>
      </c>
      <c r="K240" s="86"/>
      <c r="L240" s="269">
        <v>25</v>
      </c>
      <c r="M240" s="460">
        <v>0</v>
      </c>
      <c r="N240" s="262"/>
      <c r="O240" s="269">
        <v>1.001944444</v>
      </c>
      <c r="P240" s="85"/>
      <c r="Q240" s="75">
        <f t="shared" si="29"/>
        <v>0</v>
      </c>
      <c r="R240" s="22">
        <f t="shared" si="25"/>
        <v>0</v>
      </c>
      <c r="S240" s="22">
        <f t="shared" si="26"/>
        <v>0</v>
      </c>
      <c r="T240" s="71">
        <f>+'Input Data'!$J$48</f>
        <v>0.61</v>
      </c>
      <c r="U240" s="75">
        <f t="shared" si="27"/>
        <v>3.5002583970750347</v>
      </c>
      <c r="V240" s="75">
        <f t="shared" si="28"/>
        <v>0.04</v>
      </c>
    </row>
    <row r="241" spans="7:22" ht="12.75">
      <c r="G241" s="272"/>
      <c r="H241" s="269">
        <v>274</v>
      </c>
      <c r="I241" s="86" t="s">
        <v>97</v>
      </c>
      <c r="J241" s="269" t="str">
        <f>+'Input Data'!I48</f>
        <v>Test</v>
      </c>
      <c r="K241" s="86"/>
      <c r="L241" s="269">
        <v>25</v>
      </c>
      <c r="M241" s="460">
        <v>0</v>
      </c>
      <c r="N241" s="262"/>
      <c r="O241" s="269">
        <v>1.001944444</v>
      </c>
      <c r="P241" s="85"/>
      <c r="Q241" s="75">
        <f t="shared" si="29"/>
        <v>0</v>
      </c>
      <c r="R241" s="22">
        <f t="shared" si="25"/>
        <v>0</v>
      </c>
      <c r="S241" s="22">
        <f t="shared" si="26"/>
        <v>0</v>
      </c>
      <c r="T241" s="71">
        <f>+'Input Data'!$J$48</f>
        <v>0.61</v>
      </c>
      <c r="U241" s="75">
        <f t="shared" si="27"/>
        <v>3.492520829149243</v>
      </c>
      <c r="V241" s="75">
        <f t="shared" si="28"/>
        <v>0.04</v>
      </c>
    </row>
    <row r="242" spans="7:22" ht="12.75">
      <c r="G242" s="272"/>
      <c r="H242" s="269">
        <v>283</v>
      </c>
      <c r="I242" s="86" t="s">
        <v>97</v>
      </c>
      <c r="J242" s="269" t="str">
        <f>+'Input Data'!I48</f>
        <v>Test</v>
      </c>
      <c r="K242" s="86"/>
      <c r="L242" s="269">
        <v>25</v>
      </c>
      <c r="M242" s="460">
        <v>0</v>
      </c>
      <c r="N242" s="262"/>
      <c r="O242" s="269">
        <v>1.001944444</v>
      </c>
      <c r="P242" s="85"/>
      <c r="Q242" s="75">
        <f t="shared" si="29"/>
        <v>0</v>
      </c>
      <c r="R242" s="22">
        <f t="shared" si="25"/>
        <v>0</v>
      </c>
      <c r="S242" s="22">
        <f t="shared" si="26"/>
        <v>0</v>
      </c>
      <c r="T242" s="71">
        <f>+'Input Data'!$J$48</f>
        <v>0.61</v>
      </c>
      <c r="U242" s="75">
        <f t="shared" si="27"/>
        <v>3.4902776438831724</v>
      </c>
      <c r="V242" s="75">
        <f t="shared" si="28"/>
        <v>0.04</v>
      </c>
    </row>
    <row r="243" spans="7:22" ht="12.75">
      <c r="G243" s="272"/>
      <c r="H243" s="269">
        <v>11</v>
      </c>
      <c r="I243" s="86" t="s">
        <v>98</v>
      </c>
      <c r="J243" s="269" t="str">
        <f>+'Input Data'!I49</f>
        <v>VP_HF_Clean</v>
      </c>
      <c r="K243" s="86"/>
      <c r="L243" s="269">
        <v>40</v>
      </c>
      <c r="M243" s="460">
        <v>0.3</v>
      </c>
      <c r="N243" s="262"/>
      <c r="O243" s="269">
        <v>1.283395062</v>
      </c>
      <c r="P243" s="85"/>
      <c r="Q243" s="75">
        <f t="shared" si="29"/>
        <v>0</v>
      </c>
      <c r="R243" s="22">
        <f t="shared" si="25"/>
        <v>7494.647836242051</v>
      </c>
      <c r="S243" s="22">
        <f t="shared" si="26"/>
        <v>0</v>
      </c>
      <c r="T243" s="71">
        <f>+'Input Data'!$J$49</f>
        <v>0.55</v>
      </c>
      <c r="U243" s="75">
        <f t="shared" si="27"/>
        <v>1.927635760350322</v>
      </c>
      <c r="V243" s="75">
        <f t="shared" si="28"/>
        <v>0.025</v>
      </c>
    </row>
    <row r="244" spans="7:22" ht="12.75">
      <c r="G244" s="272"/>
      <c r="H244" s="269">
        <v>46</v>
      </c>
      <c r="I244" s="86" t="s">
        <v>98</v>
      </c>
      <c r="J244" s="269" t="str">
        <f>+'Input Data'!I49</f>
        <v>VP_HF_Clean</v>
      </c>
      <c r="K244" s="86"/>
      <c r="L244" s="269">
        <v>150</v>
      </c>
      <c r="M244" s="460">
        <v>0.3</v>
      </c>
      <c r="N244" s="262"/>
      <c r="O244" s="269">
        <v>1.283395062</v>
      </c>
      <c r="P244" s="85"/>
      <c r="Q244" s="75">
        <f t="shared" si="29"/>
        <v>0</v>
      </c>
      <c r="R244" s="22">
        <f t="shared" si="25"/>
        <v>7475.9453231468615</v>
      </c>
      <c r="S244" s="22">
        <f t="shared" si="26"/>
        <v>0</v>
      </c>
      <c r="T244" s="71">
        <f>+'Input Data'!$J$49</f>
        <v>0.55</v>
      </c>
      <c r="U244" s="75">
        <f t="shared" si="27"/>
        <v>0.5127534515189893</v>
      </c>
      <c r="V244" s="75">
        <f t="shared" si="28"/>
        <v>0.006666666666666667</v>
      </c>
    </row>
    <row r="245" spans="7:22" ht="12.75">
      <c r="G245" s="272"/>
      <c r="H245" s="269">
        <v>107</v>
      </c>
      <c r="I245" s="86" t="s">
        <v>98</v>
      </c>
      <c r="J245" s="269" t="str">
        <f>+'Input Data'!I49</f>
        <v>VP_HF_Clean</v>
      </c>
      <c r="K245" s="86"/>
      <c r="L245" s="269">
        <v>40</v>
      </c>
      <c r="M245" s="460">
        <v>0.3</v>
      </c>
      <c r="N245" s="262"/>
      <c r="O245" s="269">
        <v>1.283395062</v>
      </c>
      <c r="P245" s="85"/>
      <c r="Q245" s="75">
        <f t="shared" si="29"/>
        <v>0</v>
      </c>
      <c r="R245" s="22">
        <f t="shared" si="25"/>
        <v>7443.460999292282</v>
      </c>
      <c r="S245" s="22">
        <f t="shared" si="26"/>
        <v>0</v>
      </c>
      <c r="T245" s="71">
        <f>+'Input Data'!$J$49</f>
        <v>0.55</v>
      </c>
      <c r="U245" s="75">
        <f t="shared" si="27"/>
        <v>1.9144704216286739</v>
      </c>
      <c r="V245" s="75">
        <f t="shared" si="28"/>
        <v>0.025</v>
      </c>
    </row>
    <row r="246" spans="7:22" ht="12.75">
      <c r="G246" s="272"/>
      <c r="H246" s="269">
        <v>111</v>
      </c>
      <c r="I246" s="86" t="s">
        <v>99</v>
      </c>
      <c r="J246" s="269" t="str">
        <f>+'Input Data'!I50</f>
        <v>Wet_Bench</v>
      </c>
      <c r="K246" s="86"/>
      <c r="L246" s="269">
        <v>125</v>
      </c>
      <c r="M246" s="460">
        <v>0.5</v>
      </c>
      <c r="N246" s="262"/>
      <c r="O246" s="269">
        <v>1.393263889</v>
      </c>
      <c r="P246" s="85"/>
      <c r="Q246" s="75">
        <f t="shared" si="29"/>
        <v>0</v>
      </c>
      <c r="R246" s="22">
        <f t="shared" si="25"/>
        <v>12402.226362877813</v>
      </c>
      <c r="S246" s="22">
        <f t="shared" si="26"/>
        <v>0</v>
      </c>
      <c r="T246" s="71">
        <f>+'Input Data'!$J$50</f>
        <v>0.45999999999999996</v>
      </c>
      <c r="U246" s="75">
        <f t="shared" si="27"/>
        <v>0.5103796857151364</v>
      </c>
      <c r="V246" s="75">
        <f t="shared" si="28"/>
        <v>0.008</v>
      </c>
    </row>
    <row r="247" spans="7:22" ht="12.75">
      <c r="G247" s="272"/>
      <c r="H247" s="269">
        <v>128</v>
      </c>
      <c r="I247" s="86" t="s">
        <v>100</v>
      </c>
      <c r="J247" s="269" t="str">
        <f>+'Input Data'!I50</f>
        <v>Wet_Bench</v>
      </c>
      <c r="K247" s="86"/>
      <c r="L247" s="269">
        <v>125</v>
      </c>
      <c r="M247" s="460">
        <v>0.5</v>
      </c>
      <c r="N247" s="262"/>
      <c r="O247" s="269">
        <v>1.393263889</v>
      </c>
      <c r="P247" s="85"/>
      <c r="Q247" s="75">
        <f t="shared" si="29"/>
        <v>0</v>
      </c>
      <c r="R247" s="22">
        <f t="shared" si="25"/>
        <v>12387.184271915352</v>
      </c>
      <c r="S247" s="22">
        <f t="shared" si="26"/>
        <v>0</v>
      </c>
      <c r="T247" s="71">
        <f>+'Input Data'!$J$50</f>
        <v>0.45999999999999996</v>
      </c>
      <c r="U247" s="75">
        <f t="shared" si="27"/>
        <v>0.5097606696261461</v>
      </c>
      <c r="V247" s="75">
        <f t="shared" si="28"/>
        <v>0.008</v>
      </c>
    </row>
    <row r="248" spans="7:22" ht="12.75">
      <c r="G248" s="272"/>
      <c r="H248" s="269">
        <v>142</v>
      </c>
      <c r="I248" s="86" t="s">
        <v>100</v>
      </c>
      <c r="J248" s="269" t="str">
        <f>+'Input Data'!I50</f>
        <v>Wet_Bench</v>
      </c>
      <c r="K248" s="86"/>
      <c r="L248" s="269">
        <v>125</v>
      </c>
      <c r="M248" s="460">
        <v>0.5</v>
      </c>
      <c r="N248" s="262"/>
      <c r="O248" s="269">
        <v>1.393263889</v>
      </c>
      <c r="P248" s="85"/>
      <c r="Q248" s="75">
        <f t="shared" si="29"/>
        <v>0</v>
      </c>
      <c r="R248" s="22">
        <f t="shared" si="25"/>
        <v>12374.810367249034</v>
      </c>
      <c r="S248" s="22">
        <f t="shared" si="26"/>
        <v>0</v>
      </c>
      <c r="T248" s="71">
        <f>+'Input Data'!$J$50</f>
        <v>0.45999999999999996</v>
      </c>
      <c r="U248" s="75">
        <f t="shared" si="27"/>
        <v>0.5092514554423471</v>
      </c>
      <c r="V248" s="75">
        <f t="shared" si="28"/>
        <v>0.008</v>
      </c>
    </row>
    <row r="249" spans="7:22" ht="12.75">
      <c r="G249" s="272"/>
      <c r="H249" s="269">
        <v>147</v>
      </c>
      <c r="I249" s="86" t="s">
        <v>101</v>
      </c>
      <c r="J249" s="269" t="str">
        <f>+'Input Data'!I50</f>
        <v>Wet_Bench</v>
      </c>
      <c r="K249" s="86"/>
      <c r="L249" s="269">
        <v>125</v>
      </c>
      <c r="M249" s="460">
        <v>0.5</v>
      </c>
      <c r="N249" s="262"/>
      <c r="O249" s="269">
        <v>1.393263889</v>
      </c>
      <c r="P249" s="85"/>
      <c r="Q249" s="75">
        <f t="shared" si="29"/>
        <v>0</v>
      </c>
      <c r="R249" s="22">
        <f t="shared" si="25"/>
        <v>12370.394111787069</v>
      </c>
      <c r="S249" s="22">
        <f t="shared" si="26"/>
        <v>0</v>
      </c>
      <c r="T249" s="71">
        <f>+'Input Data'!$J$50</f>
        <v>0.45999999999999996</v>
      </c>
      <c r="U249" s="75">
        <f t="shared" si="27"/>
        <v>0.5090697165344473</v>
      </c>
      <c r="V249" s="75">
        <f t="shared" si="28"/>
        <v>0.008</v>
      </c>
    </row>
    <row r="250" spans="7:22" ht="12.75">
      <c r="G250" s="272"/>
      <c r="H250" s="269">
        <v>159</v>
      </c>
      <c r="I250" s="86" t="s">
        <v>100</v>
      </c>
      <c r="J250" s="269" t="str">
        <f>+'Input Data'!I50</f>
        <v>Wet_Bench</v>
      </c>
      <c r="K250" s="86"/>
      <c r="L250" s="269">
        <v>125</v>
      </c>
      <c r="M250" s="460">
        <v>0.5</v>
      </c>
      <c r="N250" s="262"/>
      <c r="O250" s="269">
        <v>1.393263889</v>
      </c>
      <c r="P250" s="85"/>
      <c r="Q250" s="75">
        <f t="shared" si="29"/>
        <v>0</v>
      </c>
      <c r="R250" s="22">
        <f t="shared" si="25"/>
        <v>12359.801527888985</v>
      </c>
      <c r="S250" s="22">
        <f t="shared" si="26"/>
        <v>0</v>
      </c>
      <c r="T250" s="71">
        <f>+'Input Data'!$J$50</f>
        <v>0.45999999999999996</v>
      </c>
      <c r="U250" s="75">
        <f t="shared" si="27"/>
        <v>0.508633807732057</v>
      </c>
      <c r="V250" s="75">
        <f t="shared" si="28"/>
        <v>0.008</v>
      </c>
    </row>
    <row r="251" spans="7:22" ht="12.75">
      <c r="G251" s="272"/>
      <c r="H251" s="269">
        <v>162</v>
      </c>
      <c r="I251" s="86" t="s">
        <v>101</v>
      </c>
      <c r="J251" s="269" t="str">
        <f>+'Input Data'!I50</f>
        <v>Wet_Bench</v>
      </c>
      <c r="K251" s="86"/>
      <c r="L251" s="269">
        <v>125</v>
      </c>
      <c r="M251" s="460">
        <v>0.5</v>
      </c>
      <c r="N251" s="262"/>
      <c r="O251" s="269">
        <v>1.393263889</v>
      </c>
      <c r="P251" s="85"/>
      <c r="Q251" s="75">
        <f t="shared" si="29"/>
        <v>0</v>
      </c>
      <c r="R251" s="22">
        <f t="shared" si="25"/>
        <v>12357.154799447895</v>
      </c>
      <c r="S251" s="22">
        <f t="shared" si="26"/>
        <v>0</v>
      </c>
      <c r="T251" s="71">
        <f>+'Input Data'!$J$50</f>
        <v>0.45999999999999996</v>
      </c>
      <c r="U251" s="75">
        <f t="shared" si="27"/>
        <v>0.5085248888661685</v>
      </c>
      <c r="V251" s="75">
        <f t="shared" si="28"/>
        <v>0.008</v>
      </c>
    </row>
    <row r="252" spans="7:22" ht="12.75">
      <c r="G252" s="272"/>
      <c r="H252" s="269">
        <v>175</v>
      </c>
      <c r="I252" s="86" t="s">
        <v>100</v>
      </c>
      <c r="J252" s="269" t="str">
        <f>+'Input Data'!I50</f>
        <v>Wet_Bench</v>
      </c>
      <c r="K252" s="86"/>
      <c r="L252" s="269">
        <v>125</v>
      </c>
      <c r="M252" s="460">
        <v>0.5</v>
      </c>
      <c r="N252" s="262"/>
      <c r="O252" s="269">
        <v>1.393263889</v>
      </c>
      <c r="P252" s="85"/>
      <c r="Q252" s="75">
        <f t="shared" si="29"/>
        <v>0</v>
      </c>
      <c r="R252" s="22">
        <f t="shared" si="25"/>
        <v>12345.692190660233</v>
      </c>
      <c r="S252" s="22">
        <f t="shared" si="26"/>
        <v>0</v>
      </c>
      <c r="T252" s="71">
        <f>+'Input Data'!$J$50</f>
        <v>0.45999999999999996</v>
      </c>
      <c r="U252" s="75">
        <f t="shared" si="27"/>
        <v>0.50805317657038</v>
      </c>
      <c r="V252" s="75">
        <f t="shared" si="28"/>
        <v>0.008</v>
      </c>
    </row>
    <row r="253" spans="7:22" ht="12.75">
      <c r="G253" s="272"/>
      <c r="H253" s="269">
        <v>180</v>
      </c>
      <c r="I253" s="86" t="s">
        <v>101</v>
      </c>
      <c r="J253" s="269" t="str">
        <f>+'Input Data'!I50</f>
        <v>Wet_Bench</v>
      </c>
      <c r="K253" s="86"/>
      <c r="L253" s="269">
        <v>125</v>
      </c>
      <c r="M253" s="460">
        <v>0.5</v>
      </c>
      <c r="N253" s="262"/>
      <c r="O253" s="269">
        <v>1.393263889</v>
      </c>
      <c r="P253" s="85"/>
      <c r="Q253" s="75">
        <f t="shared" si="29"/>
        <v>0</v>
      </c>
      <c r="R253" s="22">
        <f t="shared" si="25"/>
        <v>12341.2863267358</v>
      </c>
      <c r="S253" s="22">
        <f t="shared" si="26"/>
        <v>0</v>
      </c>
      <c r="T253" s="71">
        <f>+'Input Data'!$J$50</f>
        <v>0.45999999999999996</v>
      </c>
      <c r="U253" s="75">
        <f t="shared" si="27"/>
        <v>0.5078718652977696</v>
      </c>
      <c r="V253" s="75">
        <f t="shared" si="28"/>
        <v>0.008</v>
      </c>
    </row>
    <row r="254" spans="7:22" ht="12.75">
      <c r="G254" s="272"/>
      <c r="H254" s="269">
        <v>192</v>
      </c>
      <c r="I254" s="86" t="s">
        <v>100</v>
      </c>
      <c r="J254" s="269" t="str">
        <f>+'Input Data'!I50</f>
        <v>Wet_Bench</v>
      </c>
      <c r="K254" s="86"/>
      <c r="L254" s="269">
        <v>125</v>
      </c>
      <c r="M254" s="460">
        <v>0.5</v>
      </c>
      <c r="N254" s="262"/>
      <c r="O254" s="269">
        <v>1.393263889</v>
      </c>
      <c r="P254" s="85"/>
      <c r="Q254" s="75">
        <f t="shared" si="29"/>
        <v>0</v>
      </c>
      <c r="R254" s="22">
        <f t="shared" si="25"/>
        <v>12330.718667399737</v>
      </c>
      <c r="S254" s="22">
        <f t="shared" si="26"/>
        <v>0</v>
      </c>
      <c r="T254" s="71">
        <f>+'Input Data'!$J$50</f>
        <v>0.45999999999999996</v>
      </c>
      <c r="U254" s="75">
        <f t="shared" si="27"/>
        <v>0.50743698219752</v>
      </c>
      <c r="V254" s="75">
        <f t="shared" si="28"/>
        <v>0.008</v>
      </c>
    </row>
    <row r="255" spans="7:22" ht="12.75">
      <c r="G255" s="272"/>
      <c r="H255" s="269">
        <v>195</v>
      </c>
      <c r="I255" s="86" t="s">
        <v>101</v>
      </c>
      <c r="J255" s="269" t="str">
        <f>+'Input Data'!I50</f>
        <v>Wet_Bench</v>
      </c>
      <c r="K255" s="86"/>
      <c r="L255" s="269">
        <v>125</v>
      </c>
      <c r="M255" s="460">
        <v>0.5</v>
      </c>
      <c r="N255" s="262"/>
      <c r="O255" s="269">
        <v>1.393263889</v>
      </c>
      <c r="P255" s="85"/>
      <c r="Q255" s="75">
        <f t="shared" si="29"/>
        <v>0</v>
      </c>
      <c r="R255" s="22">
        <f t="shared" si="25"/>
        <v>12328.078166763666</v>
      </c>
      <c r="S255" s="22">
        <f t="shared" si="26"/>
        <v>0</v>
      </c>
      <c r="T255" s="71">
        <f>+'Input Data'!$J$50</f>
        <v>0.45999999999999996</v>
      </c>
      <c r="U255" s="75">
        <f t="shared" si="27"/>
        <v>0.5073283196199039</v>
      </c>
      <c r="V255" s="75">
        <f t="shared" si="28"/>
        <v>0.008</v>
      </c>
    </row>
    <row r="256" spans="7:22" ht="12.75">
      <c r="G256" s="272"/>
      <c r="H256" s="269">
        <v>208</v>
      </c>
      <c r="I256" s="86" t="s">
        <v>100</v>
      </c>
      <c r="J256" s="269" t="str">
        <f>+'Input Data'!I50</f>
        <v>Wet_Bench</v>
      </c>
      <c r="K256" s="86"/>
      <c r="L256" s="269">
        <v>125</v>
      </c>
      <c r="M256" s="460">
        <v>0.5</v>
      </c>
      <c r="N256" s="262"/>
      <c r="O256" s="269">
        <v>1.393263889</v>
      </c>
      <c r="P256" s="85"/>
      <c r="Q256" s="75">
        <f t="shared" si="29"/>
        <v>0</v>
      </c>
      <c r="R256" s="22">
        <f t="shared" si="25"/>
        <v>12316.642529724011</v>
      </c>
      <c r="S256" s="22">
        <f t="shared" si="26"/>
        <v>0</v>
      </c>
      <c r="T256" s="71">
        <f>+'Input Data'!$J$50</f>
        <v>0.45999999999999996</v>
      </c>
      <c r="U256" s="75">
        <f t="shared" si="27"/>
        <v>0.5068577172725931</v>
      </c>
      <c r="V256" s="75">
        <f t="shared" si="28"/>
        <v>0.008</v>
      </c>
    </row>
    <row r="257" spans="7:22" ht="12.75">
      <c r="G257" s="272"/>
      <c r="H257" s="269">
        <v>213</v>
      </c>
      <c r="I257" s="86" t="s">
        <v>101</v>
      </c>
      <c r="J257" s="269" t="str">
        <f>+'Input Data'!I50</f>
        <v>Wet_Bench</v>
      </c>
      <c r="K257" s="86"/>
      <c r="L257" s="269">
        <v>125</v>
      </c>
      <c r="M257" s="460">
        <v>0.5</v>
      </c>
      <c r="N257" s="262"/>
      <c r="O257" s="269">
        <v>1.393263889</v>
      </c>
      <c r="P257" s="85"/>
      <c r="Q257" s="75">
        <f t="shared" si="29"/>
        <v>0</v>
      </c>
      <c r="R257" s="22">
        <f t="shared" si="25"/>
        <v>12312.247032885616</v>
      </c>
      <c r="S257" s="22">
        <f t="shared" si="26"/>
        <v>0</v>
      </c>
      <c r="T257" s="71">
        <f>+'Input Data'!$J$50</f>
        <v>0.45999999999999996</v>
      </c>
      <c r="U257" s="75">
        <f t="shared" si="27"/>
        <v>0.5066768326290377</v>
      </c>
      <c r="V257" s="75">
        <f t="shared" si="28"/>
        <v>0.008</v>
      </c>
    </row>
    <row r="258" spans="7:22" ht="12.75">
      <c r="G258" s="272"/>
      <c r="H258" s="269">
        <v>225</v>
      </c>
      <c r="I258" s="86" t="s">
        <v>100</v>
      </c>
      <c r="J258" s="269" t="str">
        <f>+'Input Data'!I50</f>
        <v>Wet_Bench</v>
      </c>
      <c r="K258" s="86"/>
      <c r="L258" s="269">
        <v>125</v>
      </c>
      <c r="M258" s="460">
        <v>0.5</v>
      </c>
      <c r="N258" s="262"/>
      <c r="O258" s="269">
        <v>1.393263889</v>
      </c>
      <c r="P258" s="85"/>
      <c r="Q258" s="75">
        <f t="shared" si="29"/>
        <v>0</v>
      </c>
      <c r="R258" s="22">
        <f aca="true" t="shared" si="30" ref="R258:R284">+WS*LY^(($H258-1)/$B$24)*M258</f>
        <v>12301.704239463577</v>
      </c>
      <c r="S258" s="22">
        <f aca="true" t="shared" si="31" ref="S258:S284">+WS*LY^(($H258-1)/$B$24)*N258</f>
        <v>0</v>
      </c>
      <c r="T258" s="71">
        <f>+'Input Data'!$J$50</f>
        <v>0.45999999999999996</v>
      </c>
      <c r="U258" s="75">
        <f aca="true" t="shared" si="32" ref="U258:U284">+WS*(LY^((+H258-1)/$B$24))*(1/L258)/(1-T258)/720</f>
        <v>0.5062429728174311</v>
      </c>
      <c r="V258" s="75">
        <f t="shared" si="28"/>
        <v>0.008</v>
      </c>
    </row>
    <row r="259" spans="7:22" ht="12.75">
      <c r="G259" s="272"/>
      <c r="H259" s="269">
        <v>228</v>
      </c>
      <c r="I259" s="86" t="s">
        <v>101</v>
      </c>
      <c r="J259" s="269" t="str">
        <f>+'Input Data'!I50</f>
        <v>Wet_Bench</v>
      </c>
      <c r="K259" s="86"/>
      <c r="L259" s="269">
        <v>125</v>
      </c>
      <c r="M259" s="460">
        <v>0.5</v>
      </c>
      <c r="N259" s="262"/>
      <c r="O259" s="269">
        <v>1.393263889</v>
      </c>
      <c r="P259" s="85"/>
      <c r="Q259" s="75">
        <f t="shared" si="29"/>
        <v>0</v>
      </c>
      <c r="R259" s="22">
        <f t="shared" si="30"/>
        <v>12299.069951978378</v>
      </c>
      <c r="S259" s="22">
        <f t="shared" si="31"/>
        <v>0</v>
      </c>
      <c r="T259" s="71">
        <f>+'Input Data'!$J$50</f>
        <v>0.45999999999999996</v>
      </c>
      <c r="U259" s="75">
        <f t="shared" si="32"/>
        <v>0.506134565925036</v>
      </c>
      <c r="V259" s="75">
        <f t="shared" si="28"/>
        <v>0.008</v>
      </c>
    </row>
    <row r="260" spans="7:22" ht="12.75">
      <c r="G260" s="272"/>
      <c r="H260" s="269">
        <v>239</v>
      </c>
      <c r="I260" s="86" t="s">
        <v>100</v>
      </c>
      <c r="J260" s="269" t="str">
        <f>+'Input Data'!I50</f>
        <v>Wet_Bench</v>
      </c>
      <c r="K260" s="86"/>
      <c r="L260" s="269">
        <v>125</v>
      </c>
      <c r="M260" s="460">
        <v>0.5</v>
      </c>
      <c r="N260" s="262"/>
      <c r="O260" s="269">
        <v>1.393263889</v>
      </c>
      <c r="P260" s="85"/>
      <c r="Q260" s="75">
        <f t="shared" si="29"/>
        <v>0</v>
      </c>
      <c r="R260" s="22">
        <f t="shared" si="30"/>
        <v>12289.415723191365</v>
      </c>
      <c r="S260" s="22">
        <f t="shared" si="31"/>
        <v>0</v>
      </c>
      <c r="T260" s="71">
        <f>+'Input Data'!$J$50</f>
        <v>0.45999999999999996</v>
      </c>
      <c r="U260" s="75">
        <f t="shared" si="32"/>
        <v>0.5057372725593153</v>
      </c>
      <c r="V260" s="75">
        <f aca="true" t="shared" si="33" ref="V260:V284">1/L260</f>
        <v>0.008</v>
      </c>
    </row>
    <row r="261" spans="7:22" ht="12.75">
      <c r="G261" s="272"/>
      <c r="H261" s="269">
        <v>244</v>
      </c>
      <c r="I261" s="86" t="s">
        <v>101</v>
      </c>
      <c r="J261" s="269" t="str">
        <f>+'Input Data'!I50</f>
        <v>Wet_Bench</v>
      </c>
      <c r="K261" s="86"/>
      <c r="L261" s="269">
        <v>125</v>
      </c>
      <c r="M261" s="460">
        <v>0.5</v>
      </c>
      <c r="N261" s="262"/>
      <c r="O261" s="269">
        <v>1.393263889</v>
      </c>
      <c r="P261" s="85"/>
      <c r="Q261" s="75">
        <f t="shared" si="29"/>
        <v>0</v>
      </c>
      <c r="R261" s="22">
        <f t="shared" si="30"/>
        <v>12285.029942908577</v>
      </c>
      <c r="S261" s="22">
        <f t="shared" si="31"/>
        <v>0</v>
      </c>
      <c r="T261" s="71">
        <f>+'Input Data'!$J$50</f>
        <v>0.45999999999999996</v>
      </c>
      <c r="U261" s="75">
        <f t="shared" si="32"/>
        <v>0.5055567877740155</v>
      </c>
      <c r="V261" s="75">
        <f t="shared" si="33"/>
        <v>0.008</v>
      </c>
    </row>
    <row r="262" spans="7:22" ht="12.75">
      <c r="G262" s="272"/>
      <c r="H262" s="269">
        <v>256</v>
      </c>
      <c r="I262" s="86" t="s">
        <v>100</v>
      </c>
      <c r="J262" s="269" t="str">
        <f>+'Input Data'!I50</f>
        <v>Wet_Bench</v>
      </c>
      <c r="K262" s="86"/>
      <c r="L262" s="269">
        <v>125</v>
      </c>
      <c r="M262" s="460">
        <v>0.5</v>
      </c>
      <c r="N262" s="262"/>
      <c r="O262" s="269">
        <v>1.393263889</v>
      </c>
      <c r="P262" s="85"/>
      <c r="Q262" s="75">
        <f t="shared" si="29"/>
        <v>0</v>
      </c>
      <c r="R262" s="22">
        <f t="shared" si="30"/>
        <v>12274.510455074578</v>
      </c>
      <c r="S262" s="22">
        <f t="shared" si="31"/>
        <v>0</v>
      </c>
      <c r="T262" s="71">
        <f>+'Input Data'!$J$50</f>
        <v>0.45999999999999996</v>
      </c>
      <c r="U262" s="75">
        <f t="shared" si="32"/>
        <v>0.505123887040106</v>
      </c>
      <c r="V262" s="75">
        <f t="shared" si="33"/>
        <v>0.008</v>
      </c>
    </row>
    <row r="263" spans="7:22" ht="12.75">
      <c r="G263" s="272"/>
      <c r="H263" s="269">
        <v>259</v>
      </c>
      <c r="I263" s="86" t="s">
        <v>101</v>
      </c>
      <c r="J263" s="269" t="str">
        <f>+'Input Data'!I50</f>
        <v>Wet_Bench</v>
      </c>
      <c r="K263" s="86"/>
      <c r="L263" s="269">
        <v>125</v>
      </c>
      <c r="M263" s="460">
        <v>0.5</v>
      </c>
      <c r="N263" s="262"/>
      <c r="O263" s="269">
        <v>1.393263889</v>
      </c>
      <c r="P263" s="85"/>
      <c r="Q263" s="75">
        <f t="shared" si="29"/>
        <v>0</v>
      </c>
      <c r="R263" s="22">
        <f t="shared" si="30"/>
        <v>12271.881990867558</v>
      </c>
      <c r="S263" s="22">
        <f t="shared" si="31"/>
        <v>0</v>
      </c>
      <c r="T263" s="71">
        <f>+'Input Data'!$J$50</f>
        <v>0.45999999999999996</v>
      </c>
      <c r="U263" s="75">
        <f t="shared" si="32"/>
        <v>0.5050157197887883</v>
      </c>
      <c r="V263" s="75">
        <f t="shared" si="33"/>
        <v>0.008</v>
      </c>
    </row>
    <row r="264" spans="7:22" ht="12.75">
      <c r="G264" s="272"/>
      <c r="H264" s="269">
        <v>270</v>
      </c>
      <c r="I264" s="86" t="s">
        <v>100</v>
      </c>
      <c r="J264" s="269" t="str">
        <f>+'Input Data'!I50</f>
        <v>Wet_Bench</v>
      </c>
      <c r="K264" s="86"/>
      <c r="L264" s="269">
        <v>125</v>
      </c>
      <c r="M264" s="460">
        <v>0.5</v>
      </c>
      <c r="N264" s="262"/>
      <c r="O264" s="269">
        <v>1.393263889</v>
      </c>
      <c r="P264" s="85"/>
      <c r="Q264" s="75">
        <f t="shared" si="29"/>
        <v>0</v>
      </c>
      <c r="R264" s="22">
        <f t="shared" si="30"/>
        <v>12262.249103433822</v>
      </c>
      <c r="S264" s="22">
        <f t="shared" si="31"/>
        <v>0</v>
      </c>
      <c r="T264" s="71">
        <f>+'Input Data'!$J$50</f>
        <v>0.45999999999999996</v>
      </c>
      <c r="U264" s="75">
        <f t="shared" si="32"/>
        <v>0.5046193046680585</v>
      </c>
      <c r="V264" s="75">
        <f t="shared" si="33"/>
        <v>0.008</v>
      </c>
    </row>
    <row r="265" spans="7:22" ht="12.75">
      <c r="G265" s="272"/>
      <c r="H265" s="269">
        <v>275</v>
      </c>
      <c r="I265" s="86" t="s">
        <v>101</v>
      </c>
      <c r="J265" s="269" t="str">
        <f>+'Input Data'!I50</f>
        <v>Wet_Bench</v>
      </c>
      <c r="K265" s="86"/>
      <c r="L265" s="269">
        <v>125</v>
      </c>
      <c r="M265" s="460">
        <v>0.5</v>
      </c>
      <c r="N265" s="262"/>
      <c r="O265" s="269">
        <v>1.393263889</v>
      </c>
      <c r="P265" s="85"/>
      <c r="Q265" s="75">
        <f t="shared" si="29"/>
        <v>0</v>
      </c>
      <c r="R265" s="22">
        <f t="shared" si="30"/>
        <v>12257.873018227512</v>
      </c>
      <c r="S265" s="22">
        <f t="shared" si="31"/>
        <v>0</v>
      </c>
      <c r="T265" s="71">
        <f>+'Input Data'!$J$50</f>
        <v>0.45999999999999996</v>
      </c>
      <c r="U265" s="75">
        <f t="shared" si="32"/>
        <v>0.5044392188570992</v>
      </c>
      <c r="V265" s="75">
        <f t="shared" si="33"/>
        <v>0.008</v>
      </c>
    </row>
    <row r="266" spans="7:22" ht="12.75">
      <c r="G266" s="272"/>
      <c r="H266" s="269">
        <v>281</v>
      </c>
      <c r="I266" s="86" t="s">
        <v>100</v>
      </c>
      <c r="J266" s="269" t="str">
        <f>+'Input Data'!I50</f>
        <v>Wet_Bench</v>
      </c>
      <c r="K266" s="86"/>
      <c r="L266" s="269">
        <v>125</v>
      </c>
      <c r="M266" s="460">
        <v>0.5</v>
      </c>
      <c r="N266" s="262"/>
      <c r="O266" s="269">
        <v>1.393263889</v>
      </c>
      <c r="P266" s="85"/>
      <c r="Q266" s="75">
        <f t="shared" si="29"/>
        <v>0</v>
      </c>
      <c r="R266" s="22">
        <f t="shared" si="30"/>
        <v>12252.6237773929</v>
      </c>
      <c r="S266" s="22">
        <f t="shared" si="31"/>
        <v>0</v>
      </c>
      <c r="T266" s="71">
        <f>+'Input Data'!$J$50</f>
        <v>0.45999999999999996</v>
      </c>
      <c r="U266" s="75">
        <f t="shared" si="32"/>
        <v>0.5042232007157572</v>
      </c>
      <c r="V266" s="75">
        <f t="shared" si="33"/>
        <v>0.008</v>
      </c>
    </row>
    <row r="267" spans="7:22" ht="12.75">
      <c r="G267" s="272"/>
      <c r="H267" s="269">
        <v>1</v>
      </c>
      <c r="I267" s="86" t="s">
        <v>102</v>
      </c>
      <c r="J267" s="269" t="str">
        <f>+'Input Data'!I51</f>
        <v>Wet_Bench(I)</v>
      </c>
      <c r="K267" s="86"/>
      <c r="L267" s="269">
        <v>125</v>
      </c>
      <c r="M267" s="460">
        <v>0.5</v>
      </c>
      <c r="N267" s="262"/>
      <c r="O267" s="269">
        <v>1.393263889</v>
      </c>
      <c r="P267" s="85"/>
      <c r="Q267" s="75">
        <f t="shared" si="29"/>
        <v>0</v>
      </c>
      <c r="R267" s="22">
        <f t="shared" si="30"/>
        <v>12500</v>
      </c>
      <c r="S267" s="22">
        <f t="shared" si="31"/>
        <v>0</v>
      </c>
      <c r="T267" s="71">
        <f>+'Input Data'!$J$51</f>
        <v>0.45999999999999996</v>
      </c>
      <c r="U267" s="75">
        <f t="shared" si="32"/>
        <v>0.51440329218107</v>
      </c>
      <c r="V267" s="75">
        <f t="shared" si="33"/>
        <v>0.008</v>
      </c>
    </row>
    <row r="268" spans="7:22" ht="12.75">
      <c r="G268" s="272"/>
      <c r="H268" s="269">
        <v>12</v>
      </c>
      <c r="I268" s="86" t="s">
        <v>100</v>
      </c>
      <c r="J268" s="269" t="str">
        <f>+'Input Data'!I51</f>
        <v>Wet_Bench(I)</v>
      </c>
      <c r="K268" s="86"/>
      <c r="L268" s="269">
        <v>125</v>
      </c>
      <c r="M268" s="460">
        <v>0.5</v>
      </c>
      <c r="N268" s="262"/>
      <c r="O268" s="269">
        <v>1.393263889</v>
      </c>
      <c r="P268" s="85"/>
      <c r="Q268" s="75">
        <f t="shared" si="29"/>
        <v>0</v>
      </c>
      <c r="R268" s="22">
        <f t="shared" si="30"/>
        <v>12490.18804996566</v>
      </c>
      <c r="S268" s="22">
        <f t="shared" si="31"/>
        <v>0</v>
      </c>
      <c r="T268" s="71">
        <f>+'Input Data'!$J$50</f>
        <v>0.45999999999999996</v>
      </c>
      <c r="U268" s="75">
        <f t="shared" si="32"/>
        <v>0.5139995082290394</v>
      </c>
      <c r="V268" s="75">
        <f t="shared" si="33"/>
        <v>0.008</v>
      </c>
    </row>
    <row r="269" spans="7:22" ht="12.75">
      <c r="G269" s="272"/>
      <c r="H269" s="269">
        <v>15</v>
      </c>
      <c r="I269" s="86" t="s">
        <v>102</v>
      </c>
      <c r="J269" s="269" t="str">
        <f>+'Input Data'!I51</f>
        <v>Wet_Bench(I)</v>
      </c>
      <c r="K269" s="86"/>
      <c r="L269" s="269">
        <v>125</v>
      </c>
      <c r="M269" s="460">
        <v>0.5</v>
      </c>
      <c r="N269" s="262"/>
      <c r="O269" s="269">
        <v>1.393263889</v>
      </c>
      <c r="P269" s="85"/>
      <c r="Q269" s="75">
        <f t="shared" si="29"/>
        <v>0</v>
      </c>
      <c r="R269" s="22">
        <f t="shared" si="30"/>
        <v>12487.513400549014</v>
      </c>
      <c r="S269" s="22">
        <f t="shared" si="31"/>
        <v>0</v>
      </c>
      <c r="T269" s="71">
        <f>+'Input Data'!$J$50</f>
        <v>0.45999999999999996</v>
      </c>
      <c r="U269" s="75">
        <f t="shared" si="32"/>
        <v>0.5138894403518113</v>
      </c>
      <c r="V269" s="75">
        <f t="shared" si="33"/>
        <v>0.008</v>
      </c>
    </row>
    <row r="270" spans="7:22" ht="12.75">
      <c r="G270" s="272"/>
      <c r="H270" s="269">
        <v>22</v>
      </c>
      <c r="I270" s="86" t="s">
        <v>103</v>
      </c>
      <c r="J270" s="269" t="str">
        <f>+'Input Data'!I51</f>
        <v>Wet_Bench(I)</v>
      </c>
      <c r="K270" s="86"/>
      <c r="L270" s="269">
        <v>125</v>
      </c>
      <c r="M270" s="460">
        <v>0.5</v>
      </c>
      <c r="N270" s="262"/>
      <c r="O270" s="269">
        <v>1.393263889</v>
      </c>
      <c r="P270" s="85"/>
      <c r="Q270" s="75">
        <f t="shared" si="29"/>
        <v>0</v>
      </c>
      <c r="R270" s="22">
        <f t="shared" si="30"/>
        <v>12481.27477905753</v>
      </c>
      <c r="S270" s="22">
        <f t="shared" si="31"/>
        <v>0</v>
      </c>
      <c r="T270" s="71">
        <f>+'Input Data'!$J$50</f>
        <v>0.45999999999999996</v>
      </c>
      <c r="U270" s="75">
        <f t="shared" si="32"/>
        <v>0.5136327069571</v>
      </c>
      <c r="V270" s="75">
        <f t="shared" si="33"/>
        <v>0.008</v>
      </c>
    </row>
    <row r="271" spans="7:22" ht="12.75">
      <c r="G271" s="272"/>
      <c r="H271" s="269">
        <v>24</v>
      </c>
      <c r="I271" s="86" t="s">
        <v>102</v>
      </c>
      <c r="J271" s="269" t="str">
        <f>+'Input Data'!I51</f>
        <v>Wet_Bench(I)</v>
      </c>
      <c r="K271" s="86"/>
      <c r="L271" s="269">
        <v>125</v>
      </c>
      <c r="M271" s="460">
        <v>0.5</v>
      </c>
      <c r="N271" s="262"/>
      <c r="O271" s="269">
        <v>1.393263889</v>
      </c>
      <c r="P271" s="85"/>
      <c r="Q271" s="75">
        <f t="shared" si="29"/>
        <v>0</v>
      </c>
      <c r="R271" s="22">
        <f t="shared" si="30"/>
        <v>12479.492888305771</v>
      </c>
      <c r="S271" s="22">
        <f t="shared" si="31"/>
        <v>0</v>
      </c>
      <c r="T271" s="71">
        <f>+'Input Data'!$J$50</f>
        <v>0.45999999999999996</v>
      </c>
      <c r="U271" s="75">
        <f t="shared" si="32"/>
        <v>0.5135593781195791</v>
      </c>
      <c r="V271" s="75">
        <f t="shared" si="33"/>
        <v>0.008</v>
      </c>
    </row>
    <row r="272" spans="7:22" ht="12.75">
      <c r="G272" s="272"/>
      <c r="H272" s="269">
        <v>35</v>
      </c>
      <c r="I272" s="86" t="s">
        <v>100</v>
      </c>
      <c r="J272" s="269" t="str">
        <f>+'Input Data'!I51</f>
        <v>Wet_Bench(I)</v>
      </c>
      <c r="K272" s="86"/>
      <c r="L272" s="269">
        <v>125</v>
      </c>
      <c r="M272" s="460">
        <v>0.5</v>
      </c>
      <c r="N272" s="262"/>
      <c r="O272" s="269">
        <v>1.393263889</v>
      </c>
      <c r="P272" s="85"/>
      <c r="Q272" s="75">
        <f t="shared" si="29"/>
        <v>0</v>
      </c>
      <c r="R272" s="22">
        <f t="shared" si="30"/>
        <v>12469.697035451854</v>
      </c>
      <c r="S272" s="22">
        <f t="shared" si="31"/>
        <v>0</v>
      </c>
      <c r="T272" s="71">
        <f>+'Input Data'!$J$50</f>
        <v>0.45999999999999996</v>
      </c>
      <c r="U272" s="75">
        <f t="shared" si="32"/>
        <v>0.5131562566029569</v>
      </c>
      <c r="V272" s="75">
        <f t="shared" si="33"/>
        <v>0.008</v>
      </c>
    </row>
    <row r="273" spans="7:22" ht="12.75">
      <c r="G273" s="272"/>
      <c r="H273" s="269">
        <v>44</v>
      </c>
      <c r="I273" s="86" t="s">
        <v>100</v>
      </c>
      <c r="J273" s="269" t="str">
        <f>+'Input Data'!I51</f>
        <v>Wet_Bench(I)</v>
      </c>
      <c r="K273" s="86"/>
      <c r="L273" s="269">
        <v>125</v>
      </c>
      <c r="M273" s="460">
        <v>0.5</v>
      </c>
      <c r="N273" s="262"/>
      <c r="O273" s="269">
        <v>1.393263889</v>
      </c>
      <c r="P273" s="85"/>
      <c r="Q273" s="75">
        <f t="shared" si="29"/>
        <v>0</v>
      </c>
      <c r="R273" s="22">
        <f t="shared" si="30"/>
        <v>12461.687966349436</v>
      </c>
      <c r="S273" s="22">
        <f t="shared" si="31"/>
        <v>0</v>
      </c>
      <c r="T273" s="71">
        <f>+'Input Data'!$J$50</f>
        <v>0.45999999999999996</v>
      </c>
      <c r="U273" s="75">
        <f t="shared" si="32"/>
        <v>0.5128266652818698</v>
      </c>
      <c r="V273" s="75">
        <f t="shared" si="33"/>
        <v>0.008</v>
      </c>
    </row>
    <row r="274" spans="7:22" ht="12.75">
      <c r="G274" s="272"/>
      <c r="H274" s="269">
        <v>45</v>
      </c>
      <c r="I274" s="86" t="s">
        <v>103</v>
      </c>
      <c r="J274" s="269" t="str">
        <f>+'Input Data'!I51</f>
        <v>Wet_Bench(I)</v>
      </c>
      <c r="K274" s="86"/>
      <c r="L274" s="269">
        <v>125</v>
      </c>
      <c r="M274" s="460">
        <v>0.5</v>
      </c>
      <c r="N274" s="262"/>
      <c r="O274" s="269">
        <v>1.393263889</v>
      </c>
      <c r="P274" s="85"/>
      <c r="Q274" s="75">
        <f t="shared" si="29"/>
        <v>0</v>
      </c>
      <c r="R274" s="22">
        <f t="shared" si="30"/>
        <v>12460.798387379089</v>
      </c>
      <c r="S274" s="22">
        <f t="shared" si="31"/>
        <v>0</v>
      </c>
      <c r="T274" s="71">
        <f>+'Input Data'!$J$50</f>
        <v>0.45999999999999996</v>
      </c>
      <c r="U274" s="75">
        <f t="shared" si="32"/>
        <v>0.5127900570937897</v>
      </c>
      <c r="V274" s="75">
        <f t="shared" si="33"/>
        <v>0.008</v>
      </c>
    </row>
    <row r="275" spans="7:22" ht="12.75">
      <c r="G275" s="272"/>
      <c r="H275" s="269">
        <v>59</v>
      </c>
      <c r="I275" s="86" t="s">
        <v>100</v>
      </c>
      <c r="J275" s="269" t="str">
        <f>+'Input Data'!I51</f>
        <v>Wet_Bench(I)</v>
      </c>
      <c r="K275" s="86"/>
      <c r="L275" s="269">
        <v>125</v>
      </c>
      <c r="M275" s="460">
        <v>0.5</v>
      </c>
      <c r="N275" s="262"/>
      <c r="O275" s="269">
        <v>1.393263889</v>
      </c>
      <c r="P275" s="85"/>
      <c r="Q275" s="75">
        <f t="shared" si="29"/>
        <v>0</v>
      </c>
      <c r="R275" s="22">
        <f t="shared" si="30"/>
        <v>12448.350947514875</v>
      </c>
      <c r="S275" s="22">
        <f t="shared" si="31"/>
        <v>0</v>
      </c>
      <c r="T275" s="71">
        <f>+'Input Data'!$J$50</f>
        <v>0.45999999999999996</v>
      </c>
      <c r="U275" s="75">
        <f t="shared" si="32"/>
        <v>0.5122778167701595</v>
      </c>
      <c r="V275" s="75">
        <f t="shared" si="33"/>
        <v>0.008</v>
      </c>
    </row>
    <row r="276" spans="7:22" ht="12.75">
      <c r="G276" s="272"/>
      <c r="H276" s="269">
        <v>62</v>
      </c>
      <c r="I276" s="86" t="s">
        <v>102</v>
      </c>
      <c r="J276" s="269" t="str">
        <f>+'Input Data'!I51</f>
        <v>Wet_Bench(I)</v>
      </c>
      <c r="K276" s="86"/>
      <c r="L276" s="269">
        <v>125</v>
      </c>
      <c r="M276" s="460">
        <v>0.5</v>
      </c>
      <c r="N276" s="262"/>
      <c r="O276" s="269">
        <v>1.393263889</v>
      </c>
      <c r="P276" s="85"/>
      <c r="Q276" s="75">
        <f t="shared" si="29"/>
        <v>0</v>
      </c>
      <c r="R276" s="22">
        <f t="shared" si="30"/>
        <v>12445.685257097182</v>
      </c>
      <c r="S276" s="22">
        <f t="shared" si="31"/>
        <v>0</v>
      </c>
      <c r="T276" s="71">
        <f>+'Input Data'!$J$50</f>
        <v>0.45999999999999996</v>
      </c>
      <c r="U276" s="75">
        <f t="shared" si="32"/>
        <v>0.5121681175760157</v>
      </c>
      <c r="V276" s="75">
        <f t="shared" si="33"/>
        <v>0.008</v>
      </c>
    </row>
    <row r="277" spans="7:22" ht="12.75">
      <c r="G277" s="272"/>
      <c r="H277" s="269">
        <v>71</v>
      </c>
      <c r="I277" s="86" t="s">
        <v>100</v>
      </c>
      <c r="J277" s="269" t="str">
        <f>+'Input Data'!I51</f>
        <v>Wet_Bench(I)</v>
      </c>
      <c r="K277" s="86"/>
      <c r="L277" s="269">
        <v>125</v>
      </c>
      <c r="M277" s="460">
        <v>0.5</v>
      </c>
      <c r="N277" s="262"/>
      <c r="O277" s="269">
        <v>1.393263889</v>
      </c>
      <c r="P277" s="85"/>
      <c r="Q277" s="75">
        <f t="shared" si="29"/>
        <v>0</v>
      </c>
      <c r="R277" s="22">
        <f t="shared" si="30"/>
        <v>12437.691610341559</v>
      </c>
      <c r="S277" s="22">
        <f t="shared" si="31"/>
        <v>0</v>
      </c>
      <c r="T277" s="71">
        <f>+'Input Data'!$J$50</f>
        <v>0.45999999999999996</v>
      </c>
      <c r="U277" s="75">
        <f t="shared" si="32"/>
        <v>0.5118391609194057</v>
      </c>
      <c r="V277" s="75">
        <f t="shared" si="33"/>
        <v>0.008</v>
      </c>
    </row>
    <row r="278" spans="7:22" ht="12.75">
      <c r="G278" s="272"/>
      <c r="H278" s="269">
        <v>78</v>
      </c>
      <c r="I278" s="86" t="s">
        <v>100</v>
      </c>
      <c r="J278" s="269" t="str">
        <f>+'Input Data'!I51</f>
        <v>Wet_Bench(I)</v>
      </c>
      <c r="K278" s="86"/>
      <c r="L278" s="269">
        <v>125</v>
      </c>
      <c r="M278" s="460">
        <v>0.5</v>
      </c>
      <c r="N278" s="262"/>
      <c r="O278" s="269">
        <v>1.393263889</v>
      </c>
      <c r="P278" s="85"/>
      <c r="Q278" s="75">
        <f t="shared" si="29"/>
        <v>0</v>
      </c>
      <c r="R278" s="22">
        <f t="shared" si="30"/>
        <v>12431.477879257087</v>
      </c>
      <c r="S278" s="22">
        <f t="shared" si="31"/>
        <v>0</v>
      </c>
      <c r="T278" s="71">
        <f>+'Input Data'!$J$50</f>
        <v>0.45999999999999996</v>
      </c>
      <c r="U278" s="75">
        <f t="shared" si="32"/>
        <v>0.5115834518212793</v>
      </c>
      <c r="V278" s="75">
        <f t="shared" si="33"/>
        <v>0.008</v>
      </c>
    </row>
    <row r="279" spans="7:22" ht="12.75">
      <c r="G279" s="272"/>
      <c r="H279" s="269">
        <v>79</v>
      </c>
      <c r="I279" s="86" t="s">
        <v>102</v>
      </c>
      <c r="J279" s="269" t="str">
        <f>+'Input Data'!I51</f>
        <v>Wet_Bench(I)</v>
      </c>
      <c r="K279" s="86"/>
      <c r="L279" s="269">
        <v>125</v>
      </c>
      <c r="M279" s="460">
        <v>0.5</v>
      </c>
      <c r="N279" s="262"/>
      <c r="O279" s="269">
        <v>1.393263889</v>
      </c>
      <c r="P279" s="85"/>
      <c r="Q279" s="75">
        <f t="shared" si="29"/>
        <v>0</v>
      </c>
      <c r="R279" s="22">
        <f t="shared" si="30"/>
        <v>12430.590456837142</v>
      </c>
      <c r="S279" s="22">
        <f t="shared" si="31"/>
        <v>0</v>
      </c>
      <c r="T279" s="71">
        <f>+'Input Data'!$J$50</f>
        <v>0.45999999999999996</v>
      </c>
      <c r="U279" s="75">
        <f t="shared" si="32"/>
        <v>0.5115469323801294</v>
      </c>
      <c r="V279" s="75">
        <f t="shared" si="33"/>
        <v>0.008</v>
      </c>
    </row>
    <row r="280" spans="7:22" ht="12.75">
      <c r="G280" s="272"/>
      <c r="H280" s="269">
        <v>84</v>
      </c>
      <c r="I280" s="86" t="s">
        <v>102</v>
      </c>
      <c r="J280" s="269" t="str">
        <f>+'Input Data'!I51</f>
        <v>Wet_Bench(I)</v>
      </c>
      <c r="K280" s="86"/>
      <c r="L280" s="269">
        <v>125</v>
      </c>
      <c r="M280" s="460">
        <v>0.5</v>
      </c>
      <c r="N280" s="262"/>
      <c r="O280" s="269">
        <v>1.393263889</v>
      </c>
      <c r="P280" s="85"/>
      <c r="Q280" s="75">
        <f t="shared" si="29"/>
        <v>0</v>
      </c>
      <c r="R280" s="22">
        <f t="shared" si="30"/>
        <v>12426.154294878188</v>
      </c>
      <c r="S280" s="22">
        <f t="shared" si="31"/>
        <v>0</v>
      </c>
      <c r="T280" s="71">
        <f>+'Input Data'!$J$50</f>
        <v>0.45999999999999996</v>
      </c>
      <c r="U280" s="75">
        <f t="shared" si="32"/>
        <v>0.5113643742748225</v>
      </c>
      <c r="V280" s="75">
        <f t="shared" si="33"/>
        <v>0.008</v>
      </c>
    </row>
    <row r="281" spans="7:22" ht="12.75">
      <c r="G281" s="272"/>
      <c r="H281" s="269">
        <v>93</v>
      </c>
      <c r="I281" s="86" t="s">
        <v>100</v>
      </c>
      <c r="J281" s="269" t="str">
        <f>+'Input Data'!I51</f>
        <v>Wet_Bench(I)</v>
      </c>
      <c r="K281" s="86"/>
      <c r="L281" s="269">
        <v>125</v>
      </c>
      <c r="M281" s="460">
        <v>0.5</v>
      </c>
      <c r="N281" s="262"/>
      <c r="O281" s="269">
        <v>1.393263889</v>
      </c>
      <c r="P281" s="85"/>
      <c r="Q281" s="75">
        <f t="shared" si="29"/>
        <v>0</v>
      </c>
      <c r="R281" s="22">
        <f t="shared" si="30"/>
        <v>12418.173192519242</v>
      </c>
      <c r="S281" s="22">
        <f t="shared" si="31"/>
        <v>0</v>
      </c>
      <c r="T281" s="71">
        <f>+'Input Data'!$J$50</f>
        <v>0.45999999999999996</v>
      </c>
      <c r="U281" s="75">
        <f t="shared" si="32"/>
        <v>0.5110359338485284</v>
      </c>
      <c r="V281" s="75">
        <f t="shared" si="33"/>
        <v>0.008</v>
      </c>
    </row>
    <row r="282" spans="7:22" ht="12.75">
      <c r="G282" s="272"/>
      <c r="H282" s="269">
        <v>100</v>
      </c>
      <c r="I282" s="86" t="s">
        <v>100</v>
      </c>
      <c r="J282" s="269" t="str">
        <f>+'Input Data'!I51</f>
        <v>Wet_Bench(I)</v>
      </c>
      <c r="K282" s="86"/>
      <c r="L282" s="269">
        <v>125</v>
      </c>
      <c r="M282" s="460">
        <v>0.5</v>
      </c>
      <c r="N282" s="262"/>
      <c r="O282" s="269">
        <v>1.393263889</v>
      </c>
      <c r="P282" s="85"/>
      <c r="Q282" s="75">
        <f t="shared" si="29"/>
        <v>0</v>
      </c>
      <c r="R282" s="22">
        <f t="shared" si="30"/>
        <v>12411.969212617172</v>
      </c>
      <c r="S282" s="22">
        <f t="shared" si="31"/>
        <v>0</v>
      </c>
      <c r="T282" s="71">
        <f>+'Input Data'!$J$50</f>
        <v>0.45999999999999996</v>
      </c>
      <c r="U282" s="75">
        <f t="shared" si="32"/>
        <v>0.5107806260336285</v>
      </c>
      <c r="V282" s="75">
        <f t="shared" si="33"/>
        <v>0.008</v>
      </c>
    </row>
    <row r="283" spans="7:22" ht="12.75">
      <c r="G283" s="272"/>
      <c r="H283" s="269">
        <v>101</v>
      </c>
      <c r="I283" s="86" t="s">
        <v>102</v>
      </c>
      <c r="J283" s="269" t="str">
        <f>+'Input Data'!I51</f>
        <v>Wet_Bench(I)</v>
      </c>
      <c r="K283" s="86"/>
      <c r="L283" s="269">
        <v>125</v>
      </c>
      <c r="M283" s="460">
        <v>0.5</v>
      </c>
      <c r="N283" s="262"/>
      <c r="O283" s="269">
        <v>1.393263889</v>
      </c>
      <c r="P283" s="85"/>
      <c r="Q283" s="75">
        <f>+WS*LY^(($H283-1)/$B$24)*P283</f>
        <v>0</v>
      </c>
      <c r="R283" s="22">
        <f t="shared" si="30"/>
        <v>12411.083182825547</v>
      </c>
      <c r="S283" s="22">
        <f t="shared" si="31"/>
        <v>0</v>
      </c>
      <c r="T283" s="71">
        <f>+'Input Data'!$J$50</f>
        <v>0.45999999999999996</v>
      </c>
      <c r="U283" s="75">
        <f t="shared" si="32"/>
        <v>0.5107441639022858</v>
      </c>
      <c r="V283" s="75">
        <f t="shared" si="33"/>
        <v>0.008</v>
      </c>
    </row>
    <row r="284" spans="7:22" ht="12.75">
      <c r="G284" s="272"/>
      <c r="H284" s="269">
        <v>106</v>
      </c>
      <c r="I284" s="86" t="s">
        <v>100</v>
      </c>
      <c r="J284" s="269" t="str">
        <f>+'Input Data'!I51</f>
        <v>Wet_Bench(I)</v>
      </c>
      <c r="K284" s="86"/>
      <c r="L284" s="269">
        <v>125</v>
      </c>
      <c r="M284" s="460">
        <v>0.5</v>
      </c>
      <c r="N284" s="262"/>
      <c r="O284" s="269">
        <v>1.393263889</v>
      </c>
      <c r="P284" s="85"/>
      <c r="Q284" s="75">
        <f>+WS*LY^(($H284-1)/$B$24)*P284</f>
        <v>0</v>
      </c>
      <c r="R284" s="22">
        <f t="shared" si="30"/>
        <v>12406.653982517144</v>
      </c>
      <c r="S284" s="22">
        <f t="shared" si="31"/>
        <v>0</v>
      </c>
      <c r="T284" s="71">
        <f>+'Input Data'!$J$50</f>
        <v>0.45999999999999996</v>
      </c>
      <c r="U284" s="75">
        <f t="shared" si="32"/>
        <v>0.5105618922846561</v>
      </c>
      <c r="V284" s="75">
        <f t="shared" si="33"/>
        <v>0.008</v>
      </c>
    </row>
    <row r="285" spans="8:22" ht="12.75">
      <c r="H285" s="269"/>
      <c r="I285" s="86"/>
      <c r="J285" s="269"/>
      <c r="K285" s="86"/>
      <c r="L285" s="269"/>
      <c r="M285" s="460"/>
      <c r="N285" s="262"/>
      <c r="O285" s="269"/>
      <c r="P285" s="85"/>
      <c r="Q285" s="75"/>
      <c r="R285" s="22"/>
      <c r="S285" s="22"/>
      <c r="T285" s="71"/>
      <c r="U285" s="75"/>
      <c r="V285" s="75"/>
    </row>
    <row r="286" spans="8:22" ht="12.75">
      <c r="H286" s="269"/>
      <c r="I286" s="86"/>
      <c r="J286" s="269"/>
      <c r="K286" s="86"/>
      <c r="L286" s="269"/>
      <c r="M286" s="460"/>
      <c r="N286" s="262"/>
      <c r="O286" s="269"/>
      <c r="P286" s="85"/>
      <c r="Q286" s="75"/>
      <c r="R286" s="22"/>
      <c r="S286" s="22"/>
      <c r="T286" s="71"/>
      <c r="U286" s="75"/>
      <c r="V286" s="75"/>
    </row>
    <row r="287" spans="8:22" ht="12.75">
      <c r="H287" s="269"/>
      <c r="I287" s="86"/>
      <c r="J287" s="269"/>
      <c r="K287" s="86"/>
      <c r="L287" s="269"/>
      <c r="M287" s="460"/>
      <c r="N287" s="262"/>
      <c r="O287" s="269"/>
      <c r="P287" s="85"/>
      <c r="Q287" s="75"/>
      <c r="R287" s="22"/>
      <c r="S287" s="22"/>
      <c r="T287" s="71"/>
      <c r="U287" s="75"/>
      <c r="V287" s="75"/>
    </row>
    <row r="288" spans="8:22" ht="12.75">
      <c r="H288" s="269"/>
      <c r="I288" s="86"/>
      <c r="J288" s="269"/>
      <c r="K288" s="86"/>
      <c r="L288" s="269"/>
      <c r="M288" s="460"/>
      <c r="N288" s="262"/>
      <c r="O288" s="269"/>
      <c r="P288" s="85"/>
      <c r="Q288" s="75"/>
      <c r="R288" s="22"/>
      <c r="S288" s="22"/>
      <c r="T288" s="71"/>
      <c r="U288" s="75"/>
      <c r="V288" s="75"/>
    </row>
    <row r="289" spans="8:22" ht="12.75">
      <c r="H289" s="269"/>
      <c r="I289" s="86"/>
      <c r="J289" s="269"/>
      <c r="K289" s="86"/>
      <c r="L289" s="269"/>
      <c r="M289" s="460"/>
      <c r="N289" s="262"/>
      <c r="O289" s="269"/>
      <c r="P289" s="85"/>
      <c r="Q289" s="75"/>
      <c r="R289" s="22"/>
      <c r="S289" s="22"/>
      <c r="T289" s="71"/>
      <c r="U289" s="75"/>
      <c r="V289" s="75"/>
    </row>
    <row r="290" spans="8:22" ht="12.75">
      <c r="H290" s="269"/>
      <c r="I290" s="86"/>
      <c r="J290" s="269"/>
      <c r="K290" s="86"/>
      <c r="L290" s="269"/>
      <c r="M290" s="460"/>
      <c r="N290" s="262"/>
      <c r="O290" s="269"/>
      <c r="P290" s="85"/>
      <c r="Q290" s="75"/>
      <c r="R290" s="22"/>
      <c r="S290" s="22"/>
      <c r="T290" s="71"/>
      <c r="U290" s="75"/>
      <c r="V290" s="75"/>
    </row>
    <row r="291" spans="8:22" ht="12.75">
      <c r="H291" s="269"/>
      <c r="I291" s="86"/>
      <c r="J291" s="269"/>
      <c r="K291" s="86"/>
      <c r="L291" s="269"/>
      <c r="M291" s="460"/>
      <c r="N291" s="262"/>
      <c r="O291" s="269"/>
      <c r="P291" s="85"/>
      <c r="Q291" s="75"/>
      <c r="R291" s="22"/>
      <c r="S291" s="22"/>
      <c r="T291" s="71"/>
      <c r="U291" s="75"/>
      <c r="V291" s="75"/>
    </row>
    <row r="292" spans="8:22" ht="12.75">
      <c r="H292" s="269"/>
      <c r="I292" s="86"/>
      <c r="J292" s="269"/>
      <c r="K292" s="86"/>
      <c r="L292" s="269"/>
      <c r="M292" s="460"/>
      <c r="N292" s="262"/>
      <c r="O292" s="269"/>
      <c r="P292" s="85"/>
      <c r="Q292" s="75"/>
      <c r="R292" s="22"/>
      <c r="S292" s="22"/>
      <c r="T292" s="71"/>
      <c r="U292" s="75"/>
      <c r="V292" s="75"/>
    </row>
    <row r="293" spans="8:22" ht="12.75">
      <c r="H293" s="269"/>
      <c r="I293" s="86"/>
      <c r="J293" s="269"/>
      <c r="K293" s="86"/>
      <c r="L293" s="269"/>
      <c r="M293" s="460"/>
      <c r="N293" s="262"/>
      <c r="O293" s="269"/>
      <c r="P293" s="85"/>
      <c r="Q293" s="75"/>
      <c r="R293" s="22"/>
      <c r="S293" s="22"/>
      <c r="T293" s="71"/>
      <c r="U293" s="75"/>
      <c r="V293" s="75"/>
    </row>
    <row r="294" spans="8:22" ht="12.75">
      <c r="H294" s="269"/>
      <c r="I294" s="86"/>
      <c r="J294" s="269"/>
      <c r="K294" s="86"/>
      <c r="L294" s="269"/>
      <c r="M294" s="460"/>
      <c r="N294" s="262"/>
      <c r="O294" s="269"/>
      <c r="P294" s="85"/>
      <c r="Q294" s="75"/>
      <c r="R294" s="22"/>
      <c r="S294" s="22"/>
      <c r="T294" s="71"/>
      <c r="U294" s="75"/>
      <c r="V294" s="75"/>
    </row>
    <row r="295" spans="8:22" ht="12.75">
      <c r="H295" s="269"/>
      <c r="I295" s="86"/>
      <c r="J295" s="269"/>
      <c r="K295" s="86"/>
      <c r="L295" s="269"/>
      <c r="M295" s="460"/>
      <c r="N295" s="262"/>
      <c r="O295" s="269"/>
      <c r="P295" s="85"/>
      <c r="Q295" s="75"/>
      <c r="R295" s="22"/>
      <c r="S295" s="22"/>
      <c r="T295" s="71"/>
      <c r="U295" s="75"/>
      <c r="V295" s="75"/>
    </row>
    <row r="296" spans="8:22" ht="12.75">
      <c r="H296" s="269"/>
      <c r="I296" s="86"/>
      <c r="J296" s="269"/>
      <c r="K296" s="86"/>
      <c r="L296" s="269"/>
      <c r="M296" s="460"/>
      <c r="N296" s="262"/>
      <c r="O296" s="269"/>
      <c r="P296" s="85"/>
      <c r="Q296" s="75"/>
      <c r="R296" s="22"/>
      <c r="S296" s="22"/>
      <c r="T296" s="71"/>
      <c r="U296" s="75"/>
      <c r="V296" s="75"/>
    </row>
    <row r="297" spans="8:22" ht="12.75">
      <c r="H297" s="269"/>
      <c r="I297" s="86"/>
      <c r="J297" s="269"/>
      <c r="K297" s="86"/>
      <c r="L297" s="269"/>
      <c r="M297" s="460"/>
      <c r="N297" s="262"/>
      <c r="O297" s="269"/>
      <c r="P297" s="85"/>
      <c r="Q297" s="75"/>
      <c r="R297" s="22"/>
      <c r="S297" s="22"/>
      <c r="T297" s="71"/>
      <c r="U297" s="75"/>
      <c r="V297" s="75"/>
    </row>
    <row r="298" spans="8:22" ht="12.75">
      <c r="H298" s="269"/>
      <c r="I298" s="86"/>
      <c r="J298" s="269"/>
      <c r="K298" s="86"/>
      <c r="L298" s="269"/>
      <c r="M298" s="460"/>
      <c r="N298" s="262"/>
      <c r="O298" s="269"/>
      <c r="P298" s="85"/>
      <c r="Q298" s="75"/>
      <c r="R298" s="22"/>
      <c r="S298" s="22"/>
      <c r="T298" s="71"/>
      <c r="U298" s="75"/>
      <c r="V298" s="75"/>
    </row>
    <row r="299" spans="8:22" ht="12.75">
      <c r="H299" s="269"/>
      <c r="I299" s="86"/>
      <c r="J299" s="269"/>
      <c r="K299" s="86"/>
      <c r="L299" s="269"/>
      <c r="M299" s="460"/>
      <c r="N299" s="262"/>
      <c r="O299" s="269"/>
      <c r="P299" s="85"/>
      <c r="Q299" s="75"/>
      <c r="R299" s="22"/>
      <c r="S299" s="22"/>
      <c r="T299" s="71"/>
      <c r="U299" s="75"/>
      <c r="V299" s="75"/>
    </row>
    <row r="300" spans="8:22" ht="12.75">
      <c r="H300" s="269"/>
      <c r="I300" s="86"/>
      <c r="J300" s="269"/>
      <c r="K300" s="86"/>
      <c r="L300" s="269"/>
      <c r="M300" s="460"/>
      <c r="N300" s="262"/>
      <c r="O300" s="269"/>
      <c r="P300" s="85"/>
      <c r="Q300" s="75"/>
      <c r="R300" s="22"/>
      <c r="S300" s="22"/>
      <c r="T300" s="71"/>
      <c r="U300" s="75"/>
      <c r="V300" s="75"/>
    </row>
    <row r="301" spans="8:22" ht="13.5" thickBot="1">
      <c r="H301" s="433"/>
      <c r="I301" s="393"/>
      <c r="J301" s="433"/>
      <c r="K301" s="393"/>
      <c r="L301" s="433"/>
      <c r="M301" s="461"/>
      <c r="N301" s="434"/>
      <c r="O301" s="433"/>
      <c r="P301" s="435"/>
      <c r="Q301" s="76"/>
      <c r="R301" s="436"/>
      <c r="S301" s="436"/>
      <c r="T301" s="72"/>
      <c r="U301" s="76"/>
      <c r="V301" s="76"/>
    </row>
  </sheetData>
  <dataValidations count="3">
    <dataValidation type="list" allowBlank="1" showInputMessage="1" showErrorMessage="1" prompt="Choose from list" sqref="C37">
      <formula1>$A$37:$A$79</formula1>
    </dataValidation>
    <dataValidation type="list" allowBlank="1" showInputMessage="1" showErrorMessage="1" prompt="Choose a machine type from the list&#10;" error="You must select an existing tool name&#10;" sqref="J2:J900">
      <formula1>$A$37:$A$79</formula1>
    </dataValidation>
    <dataValidation type="list" allowBlank="1" showInputMessage="1" showErrorMessage="1" prompt="Choose the mask name from the list&#10;" sqref="K2:K301">
      <formula1>$B$37:$B$40</formula1>
    </dataValidation>
  </dataValidations>
  <printOptions/>
  <pageMargins left="0.75" right="0.75" top="1" bottom="1" header="0.5" footer="0.5"/>
  <pageSetup horizontalDpi="600" verticalDpi="600" orientation="portrait" r:id="rId2"/>
  <legacyDrawing r:id="rId1"/>
</worksheet>
</file>

<file path=xl/worksheets/sheet4.xml><?xml version="1.0" encoding="utf-8"?>
<worksheet xmlns="http://schemas.openxmlformats.org/spreadsheetml/2006/main" xmlns:r="http://schemas.openxmlformats.org/officeDocument/2006/relationships">
  <sheetPr codeName="Sheet21"/>
  <dimension ref="A1:EH95"/>
  <sheetViews>
    <sheetView zoomScale="75" zoomScaleNormal="75" workbookViewId="0" topLeftCell="A1">
      <selection activeCell="F6" sqref="F6:F48"/>
    </sheetView>
  </sheetViews>
  <sheetFormatPr defaultColWidth="9.140625" defaultRowHeight="12.75"/>
  <cols>
    <col min="1" max="1" width="26.00390625" style="0" customWidth="1"/>
    <col min="3" max="3" width="10.28125" style="0" customWidth="1"/>
    <col min="4" max="4" width="13.421875" style="0" customWidth="1"/>
    <col min="5" max="5" width="17.7109375" style="0" customWidth="1"/>
    <col min="6" max="6" width="10.57421875" style="0" bestFit="1" customWidth="1"/>
    <col min="7" max="7" width="8.8515625" style="0" customWidth="1"/>
    <col min="13" max="13" width="22.00390625" style="0" customWidth="1"/>
    <col min="14" max="14" width="19.140625" style="0" customWidth="1"/>
    <col min="22" max="22" width="11.57421875" style="0" customWidth="1"/>
    <col min="23" max="23" width="11.140625" style="7" customWidth="1"/>
    <col min="24" max="24" width="32.57421875" style="0" customWidth="1"/>
    <col min="28" max="28" width="10.421875" style="0" customWidth="1"/>
    <col min="32" max="32" width="11.421875" style="0" customWidth="1"/>
    <col min="33" max="33" width="5.140625" style="0" customWidth="1"/>
    <col min="34" max="34" width="31.7109375" style="0" customWidth="1"/>
    <col min="35" max="38" width="9.28125" style="0" bestFit="1" customWidth="1"/>
    <col min="39" max="41" width="11.57421875" style="0" bestFit="1" customWidth="1"/>
    <col min="42" max="42" width="11.421875" style="0" customWidth="1"/>
    <col min="44" max="44" width="8.140625" style="0" customWidth="1"/>
    <col min="45" max="45" width="5.140625" style="0" customWidth="1"/>
    <col min="46" max="46" width="16.28125" style="0" bestFit="1" customWidth="1"/>
    <col min="47" max="47" width="10.28125" style="0" customWidth="1"/>
    <col min="48" max="50" width="9.28125" style="0" bestFit="1" customWidth="1"/>
    <col min="51" max="51" width="15.140625" style="0" bestFit="1" customWidth="1"/>
    <col min="52" max="52" width="6.140625" style="0" customWidth="1"/>
    <col min="53" max="53" width="16.28125" style="0" bestFit="1" customWidth="1"/>
    <col min="54" max="54" width="13.00390625" style="0" customWidth="1"/>
    <col min="55" max="55" width="10.8515625" style="0" customWidth="1"/>
    <col min="56" max="56" width="9.7109375" style="0" customWidth="1"/>
    <col min="57" max="57" width="8.57421875" style="0" customWidth="1"/>
    <col min="58" max="58" width="10.7109375" style="0" customWidth="1"/>
    <col min="59" max="59" width="13.28125" style="0" customWidth="1"/>
    <col min="60" max="60" width="5.8515625" style="0" customWidth="1"/>
    <col min="61" max="61" width="24.28125" style="0" customWidth="1"/>
    <col min="62" max="62" width="10.7109375" style="0" customWidth="1"/>
    <col min="63" max="65" width="11.00390625" style="0" bestFit="1" customWidth="1"/>
    <col min="66" max="66" width="12.8515625" style="0" customWidth="1"/>
    <col min="67" max="67" width="13.28125" style="0" customWidth="1"/>
    <col min="68" max="68" width="7.28125" style="0" customWidth="1"/>
    <col min="69" max="69" width="16.57421875" style="0" customWidth="1"/>
    <col min="70" max="70" width="10.8515625" style="0" customWidth="1"/>
    <col min="71" max="71" width="10.28125" style="0" customWidth="1"/>
    <col min="72" max="72" width="10.7109375" style="0" customWidth="1"/>
    <col min="73" max="73" width="11.140625" style="0" customWidth="1"/>
    <col min="74" max="75" width="11.57421875" style="0" customWidth="1"/>
    <col min="76" max="76" width="15.8515625" style="0" customWidth="1"/>
    <col min="77" max="77" width="18.7109375" style="0" customWidth="1"/>
    <col min="78" max="78" width="6.00390625" style="0" customWidth="1"/>
    <col min="79" max="79" width="18.140625" style="0" customWidth="1"/>
    <col min="80" max="80" width="13.421875" style="0" customWidth="1"/>
    <col min="81" max="81" width="12.140625" style="0" customWidth="1"/>
    <col min="82" max="82" width="16.00390625" style="0" customWidth="1"/>
    <col min="84" max="84" width="18.7109375" style="0" customWidth="1"/>
    <col min="85" max="85" width="10.8515625" style="0" customWidth="1"/>
    <col min="88" max="88" width="10.00390625" style="0" bestFit="1" customWidth="1"/>
    <col min="97" max="97" width="17.57421875" style="0" customWidth="1"/>
    <col min="99" max="99" width="11.00390625" style="0" bestFit="1" customWidth="1"/>
  </cols>
  <sheetData>
    <row r="1" spans="1:97" ht="13.5" thickBot="1">
      <c r="A1" s="183" t="s">
        <v>318</v>
      </c>
      <c r="E1" s="6" t="s">
        <v>264</v>
      </c>
      <c r="G1" s="80"/>
      <c r="M1" s="6" t="s">
        <v>265</v>
      </c>
      <c r="N1" s="40" t="s">
        <v>114</v>
      </c>
      <c r="O1" s="41" t="s">
        <v>115</v>
      </c>
      <c r="P1" s="42"/>
      <c r="Q1" s="43" t="s">
        <v>116</v>
      </c>
      <c r="R1" s="43"/>
      <c r="S1" s="41" t="s">
        <v>117</v>
      </c>
      <c r="T1" s="42"/>
      <c r="U1" s="43" t="s">
        <v>118</v>
      </c>
      <c r="V1" s="44"/>
      <c r="X1" s="50" t="s">
        <v>166</v>
      </c>
      <c r="Y1" s="29" t="s">
        <v>115</v>
      </c>
      <c r="Z1" s="10"/>
      <c r="AA1" s="29" t="s">
        <v>116</v>
      </c>
      <c r="AB1" s="33"/>
      <c r="AC1" s="10" t="s">
        <v>117</v>
      </c>
      <c r="AD1" s="10"/>
      <c r="AE1" s="29" t="s">
        <v>118</v>
      </c>
      <c r="AF1" s="11"/>
      <c r="AH1" s="50" t="s">
        <v>168</v>
      </c>
      <c r="AI1" s="27" t="s">
        <v>115</v>
      </c>
      <c r="AJ1" s="10"/>
      <c r="AK1" s="29" t="s">
        <v>116</v>
      </c>
      <c r="AL1" s="33"/>
      <c r="AM1" s="10" t="s">
        <v>117</v>
      </c>
      <c r="AN1" s="10"/>
      <c r="AO1" s="29" t="s">
        <v>118</v>
      </c>
      <c r="AP1" s="11"/>
      <c r="AS1" s="6"/>
      <c r="AT1" s="50" t="s">
        <v>197</v>
      </c>
      <c r="AU1" s="29" t="s">
        <v>192</v>
      </c>
      <c r="AV1" s="10"/>
      <c r="AW1" s="10"/>
      <c r="AX1" s="11"/>
      <c r="AZ1" s="6"/>
      <c r="BA1" s="50" t="s">
        <v>198</v>
      </c>
      <c r="BB1" s="29" t="s">
        <v>192</v>
      </c>
      <c r="BC1" s="10"/>
      <c r="BD1" s="10"/>
      <c r="BE1" s="11"/>
      <c r="BF1" s="27" t="s">
        <v>193</v>
      </c>
      <c r="BG1" s="70" t="s">
        <v>194</v>
      </c>
      <c r="BH1" s="6"/>
      <c r="BI1" s="50" t="s">
        <v>199</v>
      </c>
      <c r="BJ1" s="29" t="s">
        <v>192</v>
      </c>
      <c r="BK1" s="10"/>
      <c r="BL1" s="10"/>
      <c r="BM1" s="10"/>
      <c r="BN1" s="70" t="s">
        <v>193</v>
      </c>
      <c r="BO1" s="11" t="s">
        <v>194</v>
      </c>
      <c r="BP1" s="6"/>
      <c r="BQ1" s="50" t="s">
        <v>199</v>
      </c>
      <c r="BR1" s="29" t="s">
        <v>192</v>
      </c>
      <c r="BS1" s="10"/>
      <c r="BT1" s="10"/>
      <c r="BU1" s="10"/>
      <c r="BV1" s="70" t="s">
        <v>193</v>
      </c>
      <c r="BW1" s="11" t="s">
        <v>194</v>
      </c>
      <c r="CS1" s="6"/>
    </row>
    <row r="2" spans="6:75" ht="13.5" thickBot="1">
      <c r="F2" s="3"/>
      <c r="G2" s="4"/>
      <c r="H2" s="27" t="s">
        <v>163</v>
      </c>
      <c r="I2" s="17"/>
      <c r="J2" s="17"/>
      <c r="K2" s="18"/>
      <c r="N2" s="45" t="s">
        <v>119</v>
      </c>
      <c r="O2" s="46" t="str">
        <f>+'Input Data'!A28</f>
        <v>Engineer</v>
      </c>
      <c r="P2" s="47" t="str">
        <f>+'Input Data'!A29</f>
        <v>Technicians</v>
      </c>
      <c r="Q2" s="48" t="str">
        <f>+'Input Data'!A28</f>
        <v>Engineer</v>
      </c>
      <c r="R2" s="48" t="str">
        <f>+'Input Data'!A29</f>
        <v>Technicians</v>
      </c>
      <c r="S2" s="46" t="str">
        <f>+'Input Data'!A28</f>
        <v>Engineer</v>
      </c>
      <c r="T2" s="47" t="str">
        <f>+'Input Data'!A29</f>
        <v>Technicians</v>
      </c>
      <c r="U2" s="48" t="str">
        <f>+'Input Data'!A28</f>
        <v>Engineer</v>
      </c>
      <c r="V2" s="49" t="str">
        <f>+'Input Data'!A29</f>
        <v>Technicians</v>
      </c>
      <c r="X2" s="45" t="s">
        <v>119</v>
      </c>
      <c r="Y2" s="46" t="str">
        <f>+'Input Data'!A28</f>
        <v>Engineer</v>
      </c>
      <c r="Z2" s="48" t="str">
        <f>+'Input Data'!A29</f>
        <v>Technicians</v>
      </c>
      <c r="AA2" s="46" t="str">
        <f>+'Input Data'!A28</f>
        <v>Engineer</v>
      </c>
      <c r="AB2" s="47" t="str">
        <f>+'Input Data'!A29</f>
        <v>Technicians</v>
      </c>
      <c r="AC2" s="48" t="str">
        <f>+'Input Data'!A28</f>
        <v>Engineer</v>
      </c>
      <c r="AD2" s="48" t="str">
        <f>+'Input Data'!A29</f>
        <v>Technicians</v>
      </c>
      <c r="AE2" s="46" t="str">
        <f>+'Input Data'!A28</f>
        <v>Engineer</v>
      </c>
      <c r="AF2" s="49" t="str">
        <f>+'Input Data'!A29</f>
        <v>Technicians</v>
      </c>
      <c r="AH2" s="45" t="s">
        <v>119</v>
      </c>
      <c r="AI2" s="45" t="str">
        <f>+'Input Data'!A28</f>
        <v>Engineer</v>
      </c>
      <c r="AJ2" s="48" t="str">
        <f>+'Input Data'!A29</f>
        <v>Technicians</v>
      </c>
      <c r="AK2" s="46" t="str">
        <f>+'Input Data'!A28</f>
        <v>Engineer</v>
      </c>
      <c r="AL2" s="47" t="str">
        <f>+'Input Data'!A29</f>
        <v>Technicians</v>
      </c>
      <c r="AM2" s="48" t="str">
        <f>+'Input Data'!A28</f>
        <v>Engineer</v>
      </c>
      <c r="AN2" s="48" t="str">
        <f>+'Input Data'!A29</f>
        <v>Technicians</v>
      </c>
      <c r="AO2" s="46" t="str">
        <f>+'Input Data'!A28</f>
        <v>Engineer</v>
      </c>
      <c r="AP2" s="49" t="str">
        <f>+'Input Data'!A29</f>
        <v>Technicians</v>
      </c>
      <c r="AS2" s="6"/>
      <c r="AT2" s="19"/>
      <c r="AU2" s="19" t="s">
        <v>271</v>
      </c>
      <c r="AV2" s="39" t="s">
        <v>272</v>
      </c>
      <c r="AW2" s="96" t="s">
        <v>273</v>
      </c>
      <c r="AX2" s="233" t="s">
        <v>274</v>
      </c>
      <c r="BA2" s="40"/>
      <c r="BB2" s="57" t="s">
        <v>271</v>
      </c>
      <c r="BC2" s="41" t="s">
        <v>272</v>
      </c>
      <c r="BD2" s="57" t="s">
        <v>273</v>
      </c>
      <c r="BE2" s="58" t="s">
        <v>274</v>
      </c>
      <c r="BF2" s="40"/>
      <c r="BG2" s="73"/>
      <c r="BI2" s="40"/>
      <c r="BJ2" s="57" t="s">
        <v>271</v>
      </c>
      <c r="BK2" s="41" t="s">
        <v>272</v>
      </c>
      <c r="BL2" s="57" t="s">
        <v>273</v>
      </c>
      <c r="BM2" s="58" t="s">
        <v>274</v>
      </c>
      <c r="BN2" s="73"/>
      <c r="BO2" s="44"/>
      <c r="BQ2" s="40"/>
      <c r="BR2" s="57" t="s">
        <v>271</v>
      </c>
      <c r="BS2" s="41" t="s">
        <v>272</v>
      </c>
      <c r="BT2" s="57" t="s">
        <v>273</v>
      </c>
      <c r="BU2" s="58" t="s">
        <v>274</v>
      </c>
      <c r="BV2" s="73"/>
      <c r="BW2" s="44"/>
    </row>
    <row r="3" spans="1:75" ht="13.5" thickBot="1">
      <c r="A3" t="s">
        <v>321</v>
      </c>
      <c r="H3" s="39" t="s">
        <v>164</v>
      </c>
      <c r="I3" s="17"/>
      <c r="J3" s="39" t="s">
        <v>165</v>
      </c>
      <c r="K3" s="18"/>
      <c r="N3" s="12" t="s">
        <v>121</v>
      </c>
      <c r="O3" s="388">
        <v>30</v>
      </c>
      <c r="P3" s="389">
        <v>100</v>
      </c>
      <c r="Q3" s="86">
        <v>32</v>
      </c>
      <c r="R3" s="86">
        <v>108</v>
      </c>
      <c r="S3" s="388">
        <v>33</v>
      </c>
      <c r="T3" s="389">
        <v>120</v>
      </c>
      <c r="U3" s="86">
        <v>35</v>
      </c>
      <c r="V3" s="390">
        <v>128</v>
      </c>
      <c r="X3" s="12" t="s">
        <v>121</v>
      </c>
      <c r="Y3" s="37">
        <f aca="true" t="shared" si="0" ref="Y3:AF3">+O3</f>
        <v>30</v>
      </c>
      <c r="Z3" s="7">
        <f t="shared" si="0"/>
        <v>100</v>
      </c>
      <c r="AA3" s="37">
        <f t="shared" si="0"/>
        <v>32</v>
      </c>
      <c r="AB3" s="38">
        <f t="shared" si="0"/>
        <v>108</v>
      </c>
      <c r="AC3" s="7">
        <f t="shared" si="0"/>
        <v>33</v>
      </c>
      <c r="AD3" s="7">
        <f t="shared" si="0"/>
        <v>120</v>
      </c>
      <c r="AE3" s="37">
        <f t="shared" si="0"/>
        <v>35</v>
      </c>
      <c r="AF3" s="13">
        <f t="shared" si="0"/>
        <v>128</v>
      </c>
      <c r="AH3" s="12" t="s">
        <v>121</v>
      </c>
      <c r="AI3" s="12">
        <f aca="true" t="shared" si="1" ref="AI3:AP3">+O3</f>
        <v>30</v>
      </c>
      <c r="AJ3" s="7">
        <f t="shared" si="1"/>
        <v>100</v>
      </c>
      <c r="AK3" s="37">
        <f t="shared" si="1"/>
        <v>32</v>
      </c>
      <c r="AL3" s="38">
        <f t="shared" si="1"/>
        <v>108</v>
      </c>
      <c r="AM3" s="7">
        <f t="shared" si="1"/>
        <v>33</v>
      </c>
      <c r="AN3" s="7">
        <f t="shared" si="1"/>
        <v>120</v>
      </c>
      <c r="AO3" s="37">
        <f t="shared" si="1"/>
        <v>35</v>
      </c>
      <c r="AP3" s="13">
        <f t="shared" si="1"/>
        <v>128</v>
      </c>
      <c r="AS3" s="6"/>
      <c r="AT3" s="12" t="s">
        <v>189</v>
      </c>
      <c r="AU3" s="99">
        <f>+(O3+P3/2+V59+W59)*'Input Data'!E37</f>
        <v>15450</v>
      </c>
      <c r="AV3" s="7">
        <f>+(Q3+R3/2+V65+W65)*'Input Data'!E37</f>
        <v>16350</v>
      </c>
      <c r="AW3" s="53">
        <f>+(S3+T3/2+V71+W71)*'Input Data'!E37</f>
        <v>17400</v>
      </c>
      <c r="AX3" s="13">
        <f>+(U3+V3/2+V77+W77)*'Input Data'!E37</f>
        <v>18300</v>
      </c>
      <c r="BA3" s="12" t="s">
        <v>189</v>
      </c>
      <c r="BB3" s="37">
        <f>+('Input Data'!$C$37/'Input Data'!$B$37+'Input Data'!$D$37)*AU3</f>
        <v>880650</v>
      </c>
      <c r="BC3" s="37">
        <f>+('Input Data'!$C$37/'Input Data'!$B$37+'Input Data'!$D$37)*AV3</f>
        <v>931950</v>
      </c>
      <c r="BD3" s="37">
        <f>+('Input Data'!$C$37/'Input Data'!$B$37+'Input Data'!$D$37)*AW3</f>
        <v>991800</v>
      </c>
      <c r="BE3" s="37">
        <f>+('Input Data'!$C$37/'Input Data'!$B$37+'Input Data'!$D$37)*AX3</f>
        <v>1043100</v>
      </c>
      <c r="BF3" s="12"/>
      <c r="BG3" s="71"/>
      <c r="BI3" s="12" t="s">
        <v>189</v>
      </c>
      <c r="BJ3" s="37">
        <f>+BB3</f>
        <v>880650</v>
      </c>
      <c r="BK3" s="37">
        <f>+BC3</f>
        <v>931950</v>
      </c>
      <c r="BL3" s="37">
        <f>+BD3</f>
        <v>991800</v>
      </c>
      <c r="BM3" s="37">
        <f>+BE3</f>
        <v>1043100</v>
      </c>
      <c r="BN3" s="71"/>
      <c r="BO3" s="13"/>
      <c r="BQ3" s="12" t="s">
        <v>189</v>
      </c>
      <c r="BR3" s="37">
        <f>+BJ3</f>
        <v>880650</v>
      </c>
      <c r="BS3" s="37">
        <f>+BK3</f>
        <v>931950</v>
      </c>
      <c r="BT3" s="37">
        <f>+BL3</f>
        <v>991800</v>
      </c>
      <c r="BU3" s="37">
        <f>+BM3</f>
        <v>1043100</v>
      </c>
      <c r="BV3" s="71"/>
      <c r="BW3" s="13"/>
    </row>
    <row r="4" spans="1:97" ht="13.5" thickBot="1">
      <c r="A4" t="s">
        <v>322</v>
      </c>
      <c r="E4" s="27"/>
      <c r="F4" s="29" t="s">
        <v>104</v>
      </c>
      <c r="G4" s="52" t="s">
        <v>104</v>
      </c>
      <c r="H4" s="37" t="s">
        <v>110</v>
      </c>
      <c r="I4" s="7" t="s">
        <v>111</v>
      </c>
      <c r="J4" s="7" t="s">
        <v>112</v>
      </c>
      <c r="K4" s="7" t="s">
        <v>113</v>
      </c>
      <c r="N4" s="14" t="s">
        <v>122</v>
      </c>
      <c r="O4" s="391">
        <v>0.00175</v>
      </c>
      <c r="P4" s="392">
        <v>0.00065</v>
      </c>
      <c r="Q4" s="393">
        <v>0.00185</v>
      </c>
      <c r="R4" s="393">
        <v>0.0007</v>
      </c>
      <c r="S4" s="391">
        <v>0.0019</v>
      </c>
      <c r="T4" s="392">
        <v>0.0009</v>
      </c>
      <c r="U4" s="393">
        <v>0.00195</v>
      </c>
      <c r="V4" s="394">
        <v>0.00105</v>
      </c>
      <c r="X4" s="14" t="s">
        <v>122</v>
      </c>
      <c r="Y4" s="30">
        <f>+O4*'Input Data'!$C$57</f>
        <v>43.75</v>
      </c>
      <c r="Z4" s="15">
        <f>+P4*'Input Data'!$C$57</f>
        <v>16.25</v>
      </c>
      <c r="AA4" s="30">
        <f>+Q4*'Input Data'!$C$57</f>
        <v>46.25</v>
      </c>
      <c r="AB4" s="36">
        <f>+R4*'Input Data'!$C$57</f>
        <v>17.5</v>
      </c>
      <c r="AC4" s="15">
        <f>+S4*'Input Data'!$C$57</f>
        <v>47.5</v>
      </c>
      <c r="AD4" s="15">
        <f>+T4*'Input Data'!$C$57</f>
        <v>22.5</v>
      </c>
      <c r="AE4" s="30">
        <f>+U4*'Input Data'!$C$57</f>
        <v>48.75</v>
      </c>
      <c r="AF4" s="16">
        <f>+V4*'Input Data'!$C$57</f>
        <v>26.25</v>
      </c>
      <c r="AH4" s="14" t="s">
        <v>122</v>
      </c>
      <c r="AI4" s="14">
        <f>+O4*'Input Data'!$C$57</f>
        <v>43.75</v>
      </c>
      <c r="AJ4" s="15">
        <f>+P4*'Input Data'!$C$57</f>
        <v>16.25</v>
      </c>
      <c r="AK4" s="30">
        <f>+Q4*'Input Data'!$C$57</f>
        <v>46.25</v>
      </c>
      <c r="AL4" s="36">
        <f>+R4*'Input Data'!$C$57</f>
        <v>17.5</v>
      </c>
      <c r="AM4" s="15">
        <f>+S4*'Input Data'!$C$57</f>
        <v>47.5</v>
      </c>
      <c r="AN4" s="15">
        <f>+T4*'Input Data'!$C$57</f>
        <v>22.5</v>
      </c>
      <c r="AO4" s="30">
        <f>+U4*'Input Data'!$C$57</f>
        <v>48.75</v>
      </c>
      <c r="AP4" s="16">
        <f>+V4*'Input Data'!$C$57</f>
        <v>26.25</v>
      </c>
      <c r="AS4" s="6"/>
      <c r="AT4" s="14" t="s">
        <v>190</v>
      </c>
      <c r="AU4" s="100">
        <f>+(O4+P4/2+V60+W60)*'Input Data'!E37</f>
        <v>0.34865999999999997</v>
      </c>
      <c r="AV4" s="15">
        <f>+(Q4+R4/2+V66+W66)*'Input Data'!E37</f>
        <v>0.36183000000000004</v>
      </c>
      <c r="AW4" s="54">
        <f>+(S4+T4/2+V72+W72)*'Input Data'!E37</f>
        <v>0.38061</v>
      </c>
      <c r="AX4" s="16">
        <f>+(U4+V4/2+V78+W78)*'Input Data'!E37</f>
        <v>0.39105</v>
      </c>
      <c r="BA4" s="14" t="s">
        <v>190</v>
      </c>
      <c r="BB4" s="30">
        <f>+('Input Data'!$C$37/'Input Data'!$B$37+'Input Data'!$D$37)*AU4</f>
        <v>19.87362</v>
      </c>
      <c r="BC4" s="30">
        <f>+('Input Data'!$C$37/'Input Data'!$B$37+'Input Data'!$D$37)*AV4</f>
        <v>20.62431</v>
      </c>
      <c r="BD4" s="30">
        <f>+('Input Data'!$C$37/'Input Data'!$B$37+'Input Data'!$D$37)*AW4</f>
        <v>21.694770000000002</v>
      </c>
      <c r="BE4" s="30">
        <f>+('Input Data'!$C$37/'Input Data'!$B$37+'Input Data'!$D$37)*AX4</f>
        <v>22.28985</v>
      </c>
      <c r="BF4" s="14"/>
      <c r="BG4" s="72"/>
      <c r="BI4" s="14" t="s">
        <v>190</v>
      </c>
      <c r="BJ4" s="30">
        <f>+BB4*'Input Data'!$C$57</f>
        <v>496840.5</v>
      </c>
      <c r="BK4" s="30">
        <f>+BC4*'Input Data'!$C$57</f>
        <v>515607.75000000006</v>
      </c>
      <c r="BL4" s="30">
        <f>+BD4*'Input Data'!$C$57</f>
        <v>542369.25</v>
      </c>
      <c r="BM4" s="30">
        <f>+BE4*'Input Data'!$C$57</f>
        <v>557246.25</v>
      </c>
      <c r="BN4" s="72"/>
      <c r="BO4" s="16"/>
      <c r="BQ4" s="14" t="s">
        <v>190</v>
      </c>
      <c r="BR4" s="30">
        <f>+BB4*'Input Data'!$C$57</f>
        <v>496840.5</v>
      </c>
      <c r="BS4" s="30">
        <f>+BC4*'Input Data'!$C$57</f>
        <v>515607.75000000006</v>
      </c>
      <c r="BT4" s="30">
        <f>+BD4*'Input Data'!$C$57</f>
        <v>542369.25</v>
      </c>
      <c r="BU4" s="30">
        <f>+BE4*'Input Data'!$C$57</f>
        <v>557246.25</v>
      </c>
      <c r="BV4" s="72"/>
      <c r="BW4" s="16"/>
      <c r="CR4" s="7"/>
      <c r="CS4" s="7"/>
    </row>
    <row r="5" spans="5:97" ht="13.5" thickBot="1">
      <c r="E5" s="14" t="s">
        <v>106</v>
      </c>
      <c r="F5" s="30" t="s">
        <v>162</v>
      </c>
      <c r="G5" s="95" t="s">
        <v>107</v>
      </c>
      <c r="H5" s="32" t="s">
        <v>109</v>
      </c>
      <c r="I5" s="15" t="s">
        <v>109</v>
      </c>
      <c r="J5" s="32" t="s">
        <v>109</v>
      </c>
      <c r="K5" s="16" t="s">
        <v>109</v>
      </c>
      <c r="N5" s="40" t="s">
        <v>123</v>
      </c>
      <c r="O5" s="41"/>
      <c r="P5" s="42"/>
      <c r="Q5" s="43"/>
      <c r="R5" s="43"/>
      <c r="S5" s="41"/>
      <c r="T5" s="42"/>
      <c r="U5" s="43"/>
      <c r="V5" s="44"/>
      <c r="X5" s="40" t="s">
        <v>123</v>
      </c>
      <c r="Y5" s="41"/>
      <c r="Z5" s="43"/>
      <c r="AA5" s="41"/>
      <c r="AB5" s="42"/>
      <c r="AC5" s="43"/>
      <c r="AD5" s="43"/>
      <c r="AE5" s="41"/>
      <c r="AF5" s="44"/>
      <c r="AH5" s="40" t="s">
        <v>123</v>
      </c>
      <c r="AI5" s="40"/>
      <c r="AJ5" s="43"/>
      <c r="AK5" s="41"/>
      <c r="AL5" s="42"/>
      <c r="AM5" s="43"/>
      <c r="AN5" s="43"/>
      <c r="AO5" s="41"/>
      <c r="AP5" s="44"/>
      <c r="AS5" s="6"/>
      <c r="AT5" s="19" t="s">
        <v>191</v>
      </c>
      <c r="AU5" s="98"/>
      <c r="AV5" s="17"/>
      <c r="AW5" s="96"/>
      <c r="AX5" s="18"/>
      <c r="BA5" s="19" t="s">
        <v>191</v>
      </c>
      <c r="BB5" s="39"/>
      <c r="BC5" s="39"/>
      <c r="BD5" s="39"/>
      <c r="BE5" s="39"/>
      <c r="BF5" s="19"/>
      <c r="BG5" s="263"/>
      <c r="BI5" s="19" t="s">
        <v>191</v>
      </c>
      <c r="BJ5" s="39"/>
      <c r="BK5" s="39"/>
      <c r="BL5" s="39"/>
      <c r="BM5" s="39"/>
      <c r="BN5" s="263"/>
      <c r="BO5" s="18"/>
      <c r="BQ5" s="19" t="s">
        <v>191</v>
      </c>
      <c r="BR5" s="39"/>
      <c r="BS5" s="39"/>
      <c r="BT5" s="39"/>
      <c r="BU5" s="39"/>
      <c r="BV5" s="263"/>
      <c r="BW5" s="18"/>
      <c r="CR5" s="7"/>
      <c r="CS5" s="7"/>
    </row>
    <row r="6" spans="5:138" ht="12.75">
      <c r="E6" s="12" t="str">
        <f>+'Input Data'!I9</f>
        <v>CMP_Ins</v>
      </c>
      <c r="F6" s="221">
        <v>2.4951751911901754</v>
      </c>
      <c r="G6" s="34">
        <f aca="true" t="shared" si="2" ref="G6:G48">+ROUNDUP(F6,0)</f>
        <v>3</v>
      </c>
      <c r="H6" s="1">
        <f>+('Input Data'!K9+'Input Data'!L9+'Input Data'!M9)*F6/'Input Data'!O9</f>
        <v>1.3473946032426947</v>
      </c>
      <c r="I6" s="20">
        <f>+'Input Data'!N9*F6</f>
        <v>0.34932452676662457</v>
      </c>
      <c r="J6" s="31">
        <f>+('Input Data'!K9+'Input Data'!L9+'Input Data'!M9)*G6/'Input Data'!O9</f>
        <v>1.6199999999999999</v>
      </c>
      <c r="K6" s="13">
        <f>+'Input Data'!N9*G6</f>
        <v>0.42000000000000004</v>
      </c>
      <c r="N6" s="12" t="str">
        <f>+'Input Data'!I9</f>
        <v>CMP_Ins</v>
      </c>
      <c r="O6" s="157">
        <v>0.019792972576346875</v>
      </c>
      <c r="P6" s="395">
        <v>0.30161396914013566</v>
      </c>
      <c r="Q6" s="157">
        <v>0.02226701373883607</v>
      </c>
      <c r="R6" s="395">
        <v>0.29622683011335993</v>
      </c>
      <c r="S6" s="157">
        <v>0.02226701373883607</v>
      </c>
      <c r="T6" s="395">
        <v>0.29084109143465453</v>
      </c>
      <c r="U6" s="157">
        <v>0.024741698177758575</v>
      </c>
      <c r="V6" s="396">
        <v>0.25313952033564635</v>
      </c>
      <c r="W6" s="74"/>
      <c r="X6" s="12" t="str">
        <f>+'Input Data'!I9</f>
        <v>CMP_Ins</v>
      </c>
      <c r="Y6" s="37">
        <f aca="true" t="shared" si="3" ref="Y6:Y48">+O6*$F6</f>
        <v>0.04938693413240822</v>
      </c>
      <c r="Z6" s="7">
        <f aca="true" t="shared" si="4" ref="Z6:Z48">+P6*$F6</f>
        <v>0.7525796931148656</v>
      </c>
      <c r="AA6" s="37">
        <f aca="true" t="shared" si="5" ref="AA6:AA48">+Q6*$F6</f>
        <v>0.055560100263034554</v>
      </c>
      <c r="AB6" s="38">
        <f aca="true" t="shared" si="6" ref="AB6:AB48">+R6*$F6</f>
        <v>0.7391378374637625</v>
      </c>
      <c r="AC6" s="7">
        <f aca="true" t="shared" si="7" ref="AC6:AC48">+S6*$F6</f>
        <v>0.055560100263034554</v>
      </c>
      <c r="AD6" s="7">
        <f aca="true" t="shared" si="8" ref="AD6:AD48">+T6*$F6</f>
        <v>0.7256994759264234</v>
      </c>
      <c r="AE6" s="37">
        <f aca="true" t="shared" si="9" ref="AE6:AE48">+U6*$F6</f>
        <v>0.061734871481058363</v>
      </c>
      <c r="AF6" s="13">
        <f aca="true" t="shared" si="10" ref="AF6:AF48">+V6*$F6</f>
        <v>0.6316274510512857</v>
      </c>
      <c r="AH6" s="12" t="str">
        <f>+'Input Data'!I9</f>
        <v>CMP_Ins</v>
      </c>
      <c r="AI6" s="12">
        <f aca="true" t="shared" si="11" ref="AI6:AI48">+O6*$G6</f>
        <v>0.05937891772904062</v>
      </c>
      <c r="AJ6" s="7">
        <f aca="true" t="shared" si="12" ref="AJ6:AJ48">+P6*$G6</f>
        <v>0.904841907420407</v>
      </c>
      <c r="AK6" s="37">
        <f aca="true" t="shared" si="13" ref="AK6:AK48">+Q6*$G6</f>
        <v>0.0668010412165082</v>
      </c>
      <c r="AL6" s="38">
        <f aca="true" t="shared" si="14" ref="AL6:AL48">+R6*$G6</f>
        <v>0.8886804903400798</v>
      </c>
      <c r="AM6" s="7">
        <f aca="true" t="shared" si="15" ref="AM6:AM48">+S6*$G6</f>
        <v>0.0668010412165082</v>
      </c>
      <c r="AN6" s="7">
        <f aca="true" t="shared" si="16" ref="AN6:AN48">+T6*$G6</f>
        <v>0.8725232743039636</v>
      </c>
      <c r="AO6" s="37">
        <f aca="true" t="shared" si="17" ref="AO6:AO48">+U6*$G6</f>
        <v>0.07422509453327572</v>
      </c>
      <c r="AP6" s="13">
        <f aca="true" t="shared" si="18" ref="AP6:AP48">+V6*$G6</f>
        <v>0.759418561006939</v>
      </c>
      <c r="AS6" s="6"/>
      <c r="AT6" s="12" t="str">
        <f>+'Input Data'!I9</f>
        <v>CMP_Ins</v>
      </c>
      <c r="AU6" s="101">
        <f>+(O6+P6/2)*'Input Data'!$E$37</f>
        <v>25.589993571962207</v>
      </c>
      <c r="AV6" s="1">
        <f>+(Q6+R6/2)*'Input Data'!$E$37</f>
        <v>25.557064319327406</v>
      </c>
      <c r="AW6" s="97">
        <f>+(S6+T6/2)*'Input Data'!$E$37</f>
        <v>25.1531339184245</v>
      </c>
      <c r="AX6" s="23">
        <f>+(U6+V6/2)*'Input Data'!$E$37</f>
        <v>22.69671875183726</v>
      </c>
      <c r="BA6" s="12" t="str">
        <f>+'Input Data'!I9</f>
        <v>CMP_Ins</v>
      </c>
      <c r="BB6" s="31">
        <f>+('Input Data'!$C$37/'Input Data'!$B$37+'Input Data'!$D$37)*AU6</f>
        <v>1458.6296336018459</v>
      </c>
      <c r="BC6" s="31">
        <f>+('Input Data'!$C$37/'Input Data'!$B$37+'Input Data'!$D$37)*AV6</f>
        <v>1456.7526662016621</v>
      </c>
      <c r="BD6" s="31">
        <f>+('Input Data'!$C$37/'Input Data'!$B$37+'Input Data'!$D$37)*AW6</f>
        <v>1433.7286333501966</v>
      </c>
      <c r="BE6" s="31">
        <f>+('Input Data'!$C$37/'Input Data'!$B$37+'Input Data'!$D$37)*AX6</f>
        <v>1293.7129688547238</v>
      </c>
      <c r="BF6" s="12">
        <f>+('Input Data'!$C$34/'Input Data'!$B$34+'Input Data'!$D$34)*'Input Data'!P9</f>
        <v>126000</v>
      </c>
      <c r="BG6" s="12">
        <f>+('Input Data'!$C$35/'Input Data'!$B$35+'Input Data'!$D$35)*'Input Data'!$Q9</f>
        <v>91200</v>
      </c>
      <c r="BI6" s="12" t="str">
        <f>+'Input Data'!I9</f>
        <v>CMP_Ins</v>
      </c>
      <c r="BJ6" s="31">
        <f aca="true" t="shared" si="19" ref="BJ6:BJ48">+BB6*$F6</f>
        <v>3639.536474898141</v>
      </c>
      <c r="BK6" s="31">
        <f aca="true" t="shared" si="20" ref="BK6:BK48">+BC6*$F6</f>
        <v>3634.85311240653</v>
      </c>
      <c r="BL6" s="31">
        <f aca="true" t="shared" si="21" ref="BL6:BL48">+BD6*$F6</f>
        <v>3577.4041168344056</v>
      </c>
      <c r="BM6" s="31">
        <f aca="true" t="shared" si="22" ref="BM6:BM48">+BE6*$F6</f>
        <v>3228.040504407295</v>
      </c>
      <c r="BN6" s="75">
        <f aca="true" t="shared" si="23" ref="BN6:BN48">+BF6*$F6</f>
        <v>314392.0740899621</v>
      </c>
      <c r="BO6" s="23">
        <f aca="true" t="shared" si="24" ref="BO6:BO48">+BG6*$F6</f>
        <v>227559.977436544</v>
      </c>
      <c r="BQ6" s="12" t="str">
        <f>+'Input Data'!I9</f>
        <v>CMP_Ins</v>
      </c>
      <c r="BR6" s="31">
        <f aca="true" t="shared" si="25" ref="BR6:BR48">+BB6*$G6</f>
        <v>4375.888900805538</v>
      </c>
      <c r="BS6" s="31">
        <f aca="true" t="shared" si="26" ref="BS6:BS48">+BC6*$G6</f>
        <v>4370.257998604986</v>
      </c>
      <c r="BT6" s="31">
        <f aca="true" t="shared" si="27" ref="BT6:BT48">+BD6*$G6</f>
        <v>4301.18590005059</v>
      </c>
      <c r="BU6" s="31">
        <f aca="true" t="shared" si="28" ref="BU6:BU48">+BE6*$G6</f>
        <v>3881.1389065641715</v>
      </c>
      <c r="BV6" s="75">
        <f aca="true" t="shared" si="29" ref="BV6:BV48">+BF6*$G6</f>
        <v>378000</v>
      </c>
      <c r="BW6" s="23">
        <f aca="true" t="shared" si="30" ref="BW6:BW48">+BG6*$G6</f>
        <v>273600</v>
      </c>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row>
    <row r="7" spans="5:97" ht="12.75">
      <c r="E7" s="12" t="str">
        <f>+'Input Data'!I10</f>
        <v>CMP_Ins(C) </v>
      </c>
      <c r="F7" s="221">
        <v>19.844959428504936</v>
      </c>
      <c r="G7" s="34">
        <f t="shared" si="2"/>
        <v>20</v>
      </c>
      <c r="H7" s="1">
        <f>+('Input Data'!K10+'Input Data'!L10+'Input Data'!M10)*F7/'Input Data'!O10</f>
        <v>10.716278091392663</v>
      </c>
      <c r="I7" s="20">
        <f>+'Input Data'!N10*F7</f>
        <v>2.778294319990691</v>
      </c>
      <c r="J7" s="31">
        <f>+('Input Data'!K10+'Input Data'!L10+'Input Data'!M10)*G7/'Input Data'!O10</f>
        <v>10.799999999999999</v>
      </c>
      <c r="K7" s="13">
        <f>+'Input Data'!N10*G7</f>
        <v>2.8000000000000003</v>
      </c>
      <c r="N7" s="12" t="str">
        <f>+'Input Data'!I10</f>
        <v>CMP_Ins(C) </v>
      </c>
      <c r="O7" s="157">
        <v>0.019792972576346875</v>
      </c>
      <c r="P7" s="395">
        <v>0.30161396914013566</v>
      </c>
      <c r="Q7" s="157">
        <v>0.02226701373883607</v>
      </c>
      <c r="R7" s="395">
        <v>0.29622683011335993</v>
      </c>
      <c r="S7" s="157">
        <v>0.02226701373883607</v>
      </c>
      <c r="T7" s="395">
        <v>0.29084109143465453</v>
      </c>
      <c r="U7" s="157">
        <v>0.024741698177758575</v>
      </c>
      <c r="V7" s="396">
        <v>0.25313952033564635</v>
      </c>
      <c r="W7" s="74"/>
      <c r="X7" s="12" t="str">
        <f>+'Input Data'!I10</f>
        <v>CMP_Ins(C) </v>
      </c>
      <c r="Y7" s="37">
        <f t="shared" si="3"/>
        <v>0.39279073774711454</v>
      </c>
      <c r="Z7" s="7">
        <f t="shared" si="4"/>
        <v>5.985516980656332</v>
      </c>
      <c r="AA7" s="37">
        <f t="shared" si="5"/>
        <v>0.4418879842411638</v>
      </c>
      <c r="AB7" s="38">
        <f t="shared" si="6"/>
        <v>5.878609425234252</v>
      </c>
      <c r="AC7" s="7">
        <f t="shared" si="7"/>
        <v>0.4418879842411638</v>
      </c>
      <c r="AD7" s="7">
        <f t="shared" si="8"/>
        <v>5.771729659662814</v>
      </c>
      <c r="AE7" s="37">
        <f t="shared" si="9"/>
        <v>0.4909979965299334</v>
      </c>
      <c r="AF7" s="13">
        <f t="shared" si="10"/>
        <v>5.023543510812102</v>
      </c>
      <c r="AH7" s="12" t="str">
        <f>+'Input Data'!I10</f>
        <v>CMP_Ins(C) </v>
      </c>
      <c r="AI7" s="12">
        <f t="shared" si="11"/>
        <v>0.3958594515269375</v>
      </c>
      <c r="AJ7" s="7">
        <f t="shared" si="12"/>
        <v>6.032279382802713</v>
      </c>
      <c r="AK7" s="37">
        <f t="shared" si="13"/>
        <v>0.44534027477672145</v>
      </c>
      <c r="AL7" s="38">
        <f t="shared" si="14"/>
        <v>5.924536602267199</v>
      </c>
      <c r="AM7" s="7">
        <f t="shared" si="15"/>
        <v>0.44534027477672145</v>
      </c>
      <c r="AN7" s="7">
        <f t="shared" si="16"/>
        <v>5.81682182869309</v>
      </c>
      <c r="AO7" s="37">
        <f t="shared" si="17"/>
        <v>0.4948339635551715</v>
      </c>
      <c r="AP7" s="13">
        <f t="shared" si="18"/>
        <v>5.062790406712927</v>
      </c>
      <c r="AS7" s="6"/>
      <c r="AT7" s="12" t="str">
        <f>+'Input Data'!I10</f>
        <v>CMP_Ins(C) </v>
      </c>
      <c r="AU7" s="101">
        <f>+(O7+P7/2)*'Input Data'!$E$37</f>
        <v>25.589993571962207</v>
      </c>
      <c r="AV7" s="1">
        <f>+(Q7+R7/2)*'Input Data'!$E$37</f>
        <v>25.557064319327406</v>
      </c>
      <c r="AW7" s="97">
        <f>+(S7+T7/2)*'Input Data'!$E$37</f>
        <v>25.1531339184245</v>
      </c>
      <c r="AX7" s="23">
        <f>+(U7+V7/2)*'Input Data'!$E$37</f>
        <v>22.69671875183726</v>
      </c>
      <c r="BA7" s="12" t="str">
        <f>+'Input Data'!I10</f>
        <v>CMP_Ins(C) </v>
      </c>
      <c r="BB7" s="31">
        <f>+('Input Data'!$C$37/'Input Data'!$B$37+'Input Data'!$D$37)*AU7</f>
        <v>1458.6296336018459</v>
      </c>
      <c r="BC7" s="31">
        <f>+('Input Data'!$C$37/'Input Data'!$B$37+'Input Data'!$D$37)*AV7</f>
        <v>1456.7526662016621</v>
      </c>
      <c r="BD7" s="31">
        <f>+('Input Data'!$C$37/'Input Data'!$B$37+'Input Data'!$D$37)*AW7</f>
        <v>1433.7286333501966</v>
      </c>
      <c r="BE7" s="31">
        <f>+('Input Data'!$C$37/'Input Data'!$B$37+'Input Data'!$D$37)*AX7</f>
        <v>1293.7129688547238</v>
      </c>
      <c r="BF7" s="12">
        <f>+('Input Data'!$C$34/'Input Data'!$B$34+'Input Data'!$D$34)*'Input Data'!P10</f>
        <v>126000</v>
      </c>
      <c r="BG7" s="12">
        <f>+('Input Data'!$C$35/'Input Data'!$B$35+'Input Data'!$D$35)*'Input Data'!$Q10</f>
        <v>91200</v>
      </c>
      <c r="BI7" s="12" t="str">
        <f>+'Input Data'!I10</f>
        <v>CMP_Ins(C) </v>
      </c>
      <c r="BJ7" s="31">
        <f t="shared" si="19"/>
        <v>28946.44590004365</v>
      </c>
      <c r="BK7" s="31">
        <f t="shared" si="20"/>
        <v>28909.197558138378</v>
      </c>
      <c r="BL7" s="31">
        <f t="shared" si="21"/>
        <v>28452.28656032048</v>
      </c>
      <c r="BM7" s="31">
        <f t="shared" si="22"/>
        <v>25673.681379052665</v>
      </c>
      <c r="BN7" s="75">
        <f t="shared" si="23"/>
        <v>2500464.887991622</v>
      </c>
      <c r="BO7" s="23">
        <f t="shared" si="24"/>
        <v>1809860.2998796501</v>
      </c>
      <c r="BQ7" s="12" t="str">
        <f>+'Input Data'!I10</f>
        <v>CMP_Ins(C) </v>
      </c>
      <c r="BR7" s="31">
        <f t="shared" si="25"/>
        <v>29172.592672036917</v>
      </c>
      <c r="BS7" s="31">
        <f t="shared" si="26"/>
        <v>29135.053324033244</v>
      </c>
      <c r="BT7" s="31">
        <f t="shared" si="27"/>
        <v>28674.57266700393</v>
      </c>
      <c r="BU7" s="31">
        <f t="shared" si="28"/>
        <v>25874.259377094477</v>
      </c>
      <c r="BV7" s="75">
        <f t="shared" si="29"/>
        <v>2520000</v>
      </c>
      <c r="BW7" s="23">
        <f t="shared" si="30"/>
        <v>1824000</v>
      </c>
      <c r="CR7" s="7"/>
      <c r="CS7" s="7"/>
    </row>
    <row r="8" spans="5:97" ht="12.75">
      <c r="E8" s="12" t="str">
        <f>+'Input Data'!I11</f>
        <v>CMP_Ins(I)</v>
      </c>
      <c r="F8" s="221">
        <v>2.512513248760408</v>
      </c>
      <c r="G8" s="34">
        <f t="shared" si="2"/>
        <v>3</v>
      </c>
      <c r="H8" s="1">
        <f>+('Input Data'!K11+'Input Data'!L11+'Input Data'!M11)*F8/'Input Data'!O11</f>
        <v>1.3567571543306203</v>
      </c>
      <c r="I8" s="20">
        <f>+'Input Data'!N11*F8</f>
        <v>0.35175185482645716</v>
      </c>
      <c r="J8" s="31">
        <f>+('Input Data'!K11+'Input Data'!L11+'Input Data'!M11)*G8/'Input Data'!O11</f>
        <v>1.6199999999999999</v>
      </c>
      <c r="K8" s="13">
        <f>+'Input Data'!N11*G8</f>
        <v>0.42000000000000004</v>
      </c>
      <c r="N8" s="12" t="str">
        <f>+'Input Data'!I11</f>
        <v>CMP_Ins(I)</v>
      </c>
      <c r="O8" s="157">
        <v>0.019792972576346875</v>
      </c>
      <c r="P8" s="395">
        <v>0.30161396914013566</v>
      </c>
      <c r="Q8" s="157">
        <v>0.02226701373883607</v>
      </c>
      <c r="R8" s="395">
        <v>0.29622683011335993</v>
      </c>
      <c r="S8" s="157">
        <v>0.02226701373883607</v>
      </c>
      <c r="T8" s="395">
        <v>0.29084109143465453</v>
      </c>
      <c r="U8" s="157">
        <v>0.024741698177758575</v>
      </c>
      <c r="V8" s="396">
        <v>0.25313952033564635</v>
      </c>
      <c r="W8" s="74"/>
      <c r="X8" s="12" t="str">
        <f>+'Input Data'!I11</f>
        <v>CMP_Ins(I)</v>
      </c>
      <c r="Y8" s="37">
        <f t="shared" si="3"/>
        <v>0.04973010583042295</v>
      </c>
      <c r="Z8" s="7">
        <f t="shared" si="4"/>
        <v>0.7578090934758037</v>
      </c>
      <c r="AA8" s="37">
        <f t="shared" si="5"/>
        <v>0.055946167029155655</v>
      </c>
      <c r="AB8" s="38">
        <f t="shared" si="6"/>
        <v>0.7442738352981154</v>
      </c>
      <c r="AC8" s="7">
        <f t="shared" si="7"/>
        <v>0.055946167029155655</v>
      </c>
      <c r="AD8" s="7">
        <f t="shared" si="8"/>
        <v>0.7307420955135068</v>
      </c>
      <c r="AE8" s="37">
        <f t="shared" si="9"/>
        <v>0.062163844468449664</v>
      </c>
      <c r="AF8" s="13">
        <f t="shared" si="10"/>
        <v>0.6360163986281662</v>
      </c>
      <c r="AH8" s="12" t="str">
        <f>+'Input Data'!I11</f>
        <v>CMP_Ins(I)</v>
      </c>
      <c r="AI8" s="12">
        <f t="shared" si="11"/>
        <v>0.05937891772904062</v>
      </c>
      <c r="AJ8" s="7">
        <f t="shared" si="12"/>
        <v>0.904841907420407</v>
      </c>
      <c r="AK8" s="37">
        <f t="shared" si="13"/>
        <v>0.0668010412165082</v>
      </c>
      <c r="AL8" s="38">
        <f t="shared" si="14"/>
        <v>0.8886804903400798</v>
      </c>
      <c r="AM8" s="7">
        <f t="shared" si="15"/>
        <v>0.0668010412165082</v>
      </c>
      <c r="AN8" s="7">
        <f t="shared" si="16"/>
        <v>0.8725232743039636</v>
      </c>
      <c r="AO8" s="37">
        <f t="shared" si="17"/>
        <v>0.07422509453327572</v>
      </c>
      <c r="AP8" s="13">
        <f t="shared" si="18"/>
        <v>0.759418561006939</v>
      </c>
      <c r="AS8" s="6"/>
      <c r="AT8" s="12" t="str">
        <f>+'Input Data'!I11</f>
        <v>CMP_Ins(I)</v>
      </c>
      <c r="AU8" s="101">
        <f>+(O8+P8/2)*'Input Data'!$E$37</f>
        <v>25.589993571962207</v>
      </c>
      <c r="AV8" s="1">
        <f>+(Q8+R8/2)*'Input Data'!$E$37</f>
        <v>25.557064319327406</v>
      </c>
      <c r="AW8" s="97">
        <f>+(S8+T8/2)*'Input Data'!$E$37</f>
        <v>25.1531339184245</v>
      </c>
      <c r="AX8" s="23">
        <f>+(U8+V8/2)*'Input Data'!$E$37</f>
        <v>22.69671875183726</v>
      </c>
      <c r="BA8" s="12" t="str">
        <f>+'Input Data'!I11</f>
        <v>CMP_Ins(I)</v>
      </c>
      <c r="BB8" s="31">
        <f>+('Input Data'!$C$37/'Input Data'!$B$37+'Input Data'!$D$37)*AU8</f>
        <v>1458.6296336018459</v>
      </c>
      <c r="BC8" s="31">
        <f>+('Input Data'!$C$37/'Input Data'!$B$37+'Input Data'!$D$37)*AV8</f>
        <v>1456.7526662016621</v>
      </c>
      <c r="BD8" s="31">
        <f>+('Input Data'!$C$37/'Input Data'!$B$37+'Input Data'!$D$37)*AW8</f>
        <v>1433.7286333501966</v>
      </c>
      <c r="BE8" s="31">
        <f>+('Input Data'!$C$37/'Input Data'!$B$37+'Input Data'!$D$37)*AX8</f>
        <v>1293.7129688547238</v>
      </c>
      <c r="BF8" s="12">
        <f>+('Input Data'!$C$34/'Input Data'!$B$34+'Input Data'!$D$34)*'Input Data'!P11</f>
        <v>126000</v>
      </c>
      <c r="BG8" s="12">
        <f>+('Input Data'!$C$35/'Input Data'!$B$35+'Input Data'!$D$35)*'Input Data'!$Q11</f>
        <v>91200</v>
      </c>
      <c r="BI8" s="12" t="str">
        <f>+'Input Data'!I11</f>
        <v>CMP_Ins(I)</v>
      </c>
      <c r="BJ8" s="31">
        <f t="shared" si="19"/>
        <v>3664.8262794591774</v>
      </c>
      <c r="BK8" s="31">
        <f t="shared" si="20"/>
        <v>3660.1103739987243</v>
      </c>
      <c r="BL8" s="31">
        <f t="shared" si="21"/>
        <v>3602.262186419522</v>
      </c>
      <c r="BM8" s="31">
        <f t="shared" si="22"/>
        <v>3250.4709743406547</v>
      </c>
      <c r="BN8" s="75">
        <f t="shared" si="23"/>
        <v>316576.6693438114</v>
      </c>
      <c r="BO8" s="23">
        <f t="shared" si="24"/>
        <v>229141.2082869492</v>
      </c>
      <c r="BQ8" s="12" t="str">
        <f>+'Input Data'!I11</f>
        <v>CMP_Ins(I)</v>
      </c>
      <c r="BR8" s="31">
        <f t="shared" si="25"/>
        <v>4375.888900805538</v>
      </c>
      <c r="BS8" s="31">
        <f t="shared" si="26"/>
        <v>4370.257998604986</v>
      </c>
      <c r="BT8" s="31">
        <f t="shared" si="27"/>
        <v>4301.18590005059</v>
      </c>
      <c r="BU8" s="31">
        <f t="shared" si="28"/>
        <v>3881.1389065641715</v>
      </c>
      <c r="BV8" s="75">
        <f t="shared" si="29"/>
        <v>378000</v>
      </c>
      <c r="BW8" s="23">
        <f t="shared" si="30"/>
        <v>273600</v>
      </c>
      <c r="CR8" s="7"/>
      <c r="CS8" s="7"/>
    </row>
    <row r="9" spans="5:97" ht="12.75">
      <c r="E9" s="12" t="str">
        <f>+'Input Data'!I12</f>
        <v>CMP_Met</v>
      </c>
      <c r="F9" s="221">
        <v>12.405250562808655</v>
      </c>
      <c r="G9" s="34">
        <f t="shared" si="2"/>
        <v>13</v>
      </c>
      <c r="H9" s="1">
        <f>+('Input Data'!K12+'Input Data'!L12+'Input Data'!M12)*F9/'Input Data'!O12</f>
        <v>6.698835303916674</v>
      </c>
      <c r="I9" s="20">
        <f>+'Input Data'!N12*F9</f>
        <v>1.7367350787932119</v>
      </c>
      <c r="J9" s="31">
        <f>+('Input Data'!K12+'Input Data'!L12+'Input Data'!M12)*G9/'Input Data'!O12</f>
        <v>7.019999999999999</v>
      </c>
      <c r="K9" s="13">
        <f>+'Input Data'!N12*G9</f>
        <v>1.8200000000000003</v>
      </c>
      <c r="N9" s="12" t="str">
        <f>+'Input Data'!I12</f>
        <v>CMP_Met</v>
      </c>
      <c r="O9" s="157">
        <v>0.019792972576346875</v>
      </c>
      <c r="P9" s="395">
        <v>0.30161396914013566</v>
      </c>
      <c r="Q9" s="157">
        <v>0.02226701373883607</v>
      </c>
      <c r="R9" s="395">
        <v>0.29622683011335993</v>
      </c>
      <c r="S9" s="157">
        <v>0.02226701373883607</v>
      </c>
      <c r="T9" s="395">
        <v>0.29084109143465453</v>
      </c>
      <c r="U9" s="157">
        <v>0.024741698177758575</v>
      </c>
      <c r="V9" s="396">
        <v>0.25313952033564635</v>
      </c>
      <c r="W9" s="74"/>
      <c r="X9" s="12" t="str">
        <f>+'Input Data'!I12</f>
        <v>CMP_Met</v>
      </c>
      <c r="Y9" s="37">
        <f t="shared" si="3"/>
        <v>0.24553678419238337</v>
      </c>
      <c r="Z9" s="7">
        <f t="shared" si="4"/>
        <v>3.7415968604266205</v>
      </c>
      <c r="AA9" s="37">
        <f t="shared" si="5"/>
        <v>0.2762278847157642</v>
      </c>
      <c r="AB9" s="38">
        <f t="shared" si="6"/>
        <v>3.6747680509827823</v>
      </c>
      <c r="AC9" s="7">
        <f t="shared" si="7"/>
        <v>0.2762278847157642</v>
      </c>
      <c r="AD9" s="7">
        <f t="shared" si="8"/>
        <v>3.6079566132076315</v>
      </c>
      <c r="AE9" s="37">
        <f t="shared" si="9"/>
        <v>0.30692696524448143</v>
      </c>
      <c r="AF9" s="13">
        <f t="shared" si="10"/>
        <v>3.14025917711289</v>
      </c>
      <c r="AH9" s="12" t="str">
        <f>+'Input Data'!I12</f>
        <v>CMP_Met</v>
      </c>
      <c r="AI9" s="12">
        <f t="shared" si="11"/>
        <v>0.25730864349250937</v>
      </c>
      <c r="AJ9" s="7">
        <f t="shared" si="12"/>
        <v>3.9209815988217636</v>
      </c>
      <c r="AK9" s="37">
        <f t="shared" si="13"/>
        <v>0.28947117860486893</v>
      </c>
      <c r="AL9" s="38">
        <f t="shared" si="14"/>
        <v>3.8509487914736793</v>
      </c>
      <c r="AM9" s="7">
        <f t="shared" si="15"/>
        <v>0.28947117860486893</v>
      </c>
      <c r="AN9" s="7">
        <f t="shared" si="16"/>
        <v>3.780934188650509</v>
      </c>
      <c r="AO9" s="37">
        <f t="shared" si="17"/>
        <v>0.32164207631086145</v>
      </c>
      <c r="AP9" s="13">
        <f t="shared" si="18"/>
        <v>3.290813764363403</v>
      </c>
      <c r="AS9" s="6"/>
      <c r="AT9" s="12" t="str">
        <f>+'Input Data'!I12</f>
        <v>CMP_Met</v>
      </c>
      <c r="AU9" s="101">
        <f>+(O9+P9/2)*'Input Data'!$E$37</f>
        <v>25.589993571962207</v>
      </c>
      <c r="AV9" s="1">
        <f>+(Q9+R9/2)*'Input Data'!$E$37</f>
        <v>25.557064319327406</v>
      </c>
      <c r="AW9" s="97">
        <f>+(S9+T9/2)*'Input Data'!$E$37</f>
        <v>25.1531339184245</v>
      </c>
      <c r="AX9" s="23">
        <f>+(U9+V9/2)*'Input Data'!$E$37</f>
        <v>22.69671875183726</v>
      </c>
      <c r="BA9" s="12" t="str">
        <f>+'Input Data'!I12</f>
        <v>CMP_Met</v>
      </c>
      <c r="BB9" s="31">
        <f>+('Input Data'!$C$37/'Input Data'!$B$37+'Input Data'!$D$37)*AU9</f>
        <v>1458.6296336018459</v>
      </c>
      <c r="BC9" s="31">
        <f>+('Input Data'!$C$37/'Input Data'!$B$37+'Input Data'!$D$37)*AV9</f>
        <v>1456.7526662016621</v>
      </c>
      <c r="BD9" s="31">
        <f>+('Input Data'!$C$37/'Input Data'!$B$37+'Input Data'!$D$37)*AW9</f>
        <v>1433.7286333501966</v>
      </c>
      <c r="BE9" s="31">
        <f>+('Input Data'!$C$37/'Input Data'!$B$37+'Input Data'!$D$37)*AX9</f>
        <v>1293.7129688547238</v>
      </c>
      <c r="BF9" s="12">
        <f>+('Input Data'!$C$34/'Input Data'!$B$34+'Input Data'!$D$34)*'Input Data'!P12</f>
        <v>126000</v>
      </c>
      <c r="BG9" s="12">
        <f>+('Input Data'!$C$35/'Input Data'!$B$35+'Input Data'!$D$35)*'Input Data'!$Q12</f>
        <v>91200</v>
      </c>
      <c r="BI9" s="12" t="str">
        <f>+'Input Data'!I12</f>
        <v>CMP_Met</v>
      </c>
      <c r="BJ9" s="31">
        <f t="shared" si="19"/>
        <v>18094.666083168682</v>
      </c>
      <c r="BK9" s="31">
        <f t="shared" si="20"/>
        <v>18071.381832271178</v>
      </c>
      <c r="BL9" s="31">
        <f t="shared" si="21"/>
        <v>17785.76293578241</v>
      </c>
      <c r="BM9" s="31">
        <f t="shared" si="22"/>
        <v>16048.833534997919</v>
      </c>
      <c r="BN9" s="75">
        <f t="shared" si="23"/>
        <v>1563061.5709138906</v>
      </c>
      <c r="BO9" s="23">
        <f t="shared" si="24"/>
        <v>1131358.8513281494</v>
      </c>
      <c r="BQ9" s="12" t="str">
        <f>+'Input Data'!I12</f>
        <v>CMP_Met</v>
      </c>
      <c r="BR9" s="31">
        <f t="shared" si="25"/>
        <v>18962.185236823996</v>
      </c>
      <c r="BS9" s="31">
        <f t="shared" si="26"/>
        <v>18937.784660621608</v>
      </c>
      <c r="BT9" s="31">
        <f t="shared" si="27"/>
        <v>18638.472233552555</v>
      </c>
      <c r="BU9" s="31">
        <f t="shared" si="28"/>
        <v>16818.26859511141</v>
      </c>
      <c r="BV9" s="75">
        <f t="shared" si="29"/>
        <v>1638000</v>
      </c>
      <c r="BW9" s="23">
        <f t="shared" si="30"/>
        <v>1185600</v>
      </c>
      <c r="CR9" s="7"/>
      <c r="CS9" s="7"/>
    </row>
    <row r="10" spans="5:97" ht="12.75">
      <c r="E10" s="12" t="str">
        <f>+'Input Data'!I13</f>
        <v>CVD_Ins</v>
      </c>
      <c r="F10" s="221">
        <v>3.4975857966075945</v>
      </c>
      <c r="G10" s="34">
        <f t="shared" si="2"/>
        <v>4</v>
      </c>
      <c r="H10" s="1">
        <f>+('Input Data'!K13+'Input Data'!L13+'Input Data'!M13)*F10/'Input Data'!O13</f>
        <v>2.8330444952521514</v>
      </c>
      <c r="I10" s="20">
        <f>+'Input Data'!N13*F10</f>
        <v>0.7344930172875949</v>
      </c>
      <c r="J10" s="31">
        <f>+('Input Data'!K13+'Input Data'!L13+'Input Data'!M13)*G10/'Input Data'!O13</f>
        <v>3.2399999999999998</v>
      </c>
      <c r="K10" s="13">
        <f>+'Input Data'!N13*G10</f>
        <v>0.84</v>
      </c>
      <c r="N10" s="12" t="str">
        <f>+'Input Data'!I13</f>
        <v>CVD_Ins</v>
      </c>
      <c r="O10" s="157">
        <v>0.019792972576346875</v>
      </c>
      <c r="P10" s="395">
        <v>0.1809683814840814</v>
      </c>
      <c r="Q10" s="157">
        <v>0.02226701373883607</v>
      </c>
      <c r="R10" s="395">
        <v>0.17773609806801596</v>
      </c>
      <c r="S10" s="157">
        <v>0.02226701373883607</v>
      </c>
      <c r="T10" s="395">
        <v>0.17450465486079272</v>
      </c>
      <c r="U10" s="157">
        <v>0.024741698177758575</v>
      </c>
      <c r="V10" s="396">
        <v>0.15188371220138783</v>
      </c>
      <c r="W10" s="74"/>
      <c r="X10" s="12" t="str">
        <f>+'Input Data'!I13</f>
        <v>CVD_Ins</v>
      </c>
      <c r="Y10" s="37">
        <f t="shared" si="3"/>
        <v>0.06922761975567446</v>
      </c>
      <c r="Z10" s="7">
        <f t="shared" si="4"/>
        <v>0.6329524407137879</v>
      </c>
      <c r="AA10" s="37">
        <f t="shared" si="5"/>
        <v>0.07788079098581921</v>
      </c>
      <c r="AB10" s="38">
        <f t="shared" si="6"/>
        <v>0.6216472521471471</v>
      </c>
      <c r="AC10" s="7">
        <f t="shared" si="7"/>
        <v>0.07788079098581921</v>
      </c>
      <c r="AD10" s="7">
        <f t="shared" si="8"/>
        <v>0.610345002283019</v>
      </c>
      <c r="AE10" s="37">
        <f t="shared" si="9"/>
        <v>0.08653621213048039</v>
      </c>
      <c r="AF10" s="13">
        <f t="shared" si="10"/>
        <v>0.5312263145316096</v>
      </c>
      <c r="AH10" s="12" t="str">
        <f>+'Input Data'!I13</f>
        <v>CVD_Ins</v>
      </c>
      <c r="AI10" s="12">
        <f t="shared" si="11"/>
        <v>0.0791718903053875</v>
      </c>
      <c r="AJ10" s="7">
        <f t="shared" si="12"/>
        <v>0.7238735259363256</v>
      </c>
      <c r="AK10" s="37">
        <f t="shared" si="13"/>
        <v>0.08906805495534428</v>
      </c>
      <c r="AL10" s="38">
        <f t="shared" si="14"/>
        <v>0.7109443922720639</v>
      </c>
      <c r="AM10" s="7">
        <f t="shared" si="15"/>
        <v>0.08906805495534428</v>
      </c>
      <c r="AN10" s="7">
        <f t="shared" si="16"/>
        <v>0.6980186194431709</v>
      </c>
      <c r="AO10" s="37">
        <f t="shared" si="17"/>
        <v>0.0989667927110343</v>
      </c>
      <c r="AP10" s="13">
        <f t="shared" si="18"/>
        <v>0.6075348488055513</v>
      </c>
      <c r="AS10" s="6"/>
      <c r="AT10" s="12" t="str">
        <f>+'Input Data'!I13</f>
        <v>CVD_Ins</v>
      </c>
      <c r="AU10" s="101">
        <f>+(O10+P10/2)*'Input Data'!$E$37</f>
        <v>16.541574497758138</v>
      </c>
      <c r="AV10" s="1">
        <f>+(Q10+R10/2)*'Input Data'!$E$37</f>
        <v>16.67025941592661</v>
      </c>
      <c r="AW10" s="97">
        <f>+(S10+T10/2)*'Input Data'!$E$37</f>
        <v>16.427901175384864</v>
      </c>
      <c r="AX10" s="23">
        <f>+(U10+V10/2)*'Input Data'!$E$37</f>
        <v>15.102533141767873</v>
      </c>
      <c r="BA10" s="12" t="str">
        <f>+'Input Data'!I13</f>
        <v>CVD_Ins</v>
      </c>
      <c r="BB10" s="31">
        <f>+('Input Data'!$C$37/'Input Data'!$B$37+'Input Data'!$D$37)*AU10</f>
        <v>942.8697463722139</v>
      </c>
      <c r="BC10" s="31">
        <f>+('Input Data'!$C$37/'Input Data'!$B$37+'Input Data'!$D$37)*AV10</f>
        <v>950.2047867078167</v>
      </c>
      <c r="BD10" s="31">
        <f>+('Input Data'!$C$37/'Input Data'!$B$37+'Input Data'!$D$37)*AW10</f>
        <v>936.3903669969372</v>
      </c>
      <c r="BE10" s="31">
        <f>+('Input Data'!$C$37/'Input Data'!$B$37+'Input Data'!$D$37)*AX10</f>
        <v>860.8443890807688</v>
      </c>
      <c r="BF10" s="12">
        <f>+('Input Data'!$C$34/'Input Data'!$B$34+'Input Data'!$D$34)*'Input Data'!P13</f>
        <v>126000</v>
      </c>
      <c r="BG10" s="12">
        <f>+('Input Data'!$C$35/'Input Data'!$B$35+'Input Data'!$D$35)*'Input Data'!$Q13</f>
        <v>91200</v>
      </c>
      <c r="BI10" s="12" t="str">
        <f>+'Input Data'!I13</f>
        <v>CVD_Ins</v>
      </c>
      <c r="BJ10" s="31">
        <f t="shared" si="19"/>
        <v>3297.76783296246</v>
      </c>
      <c r="BK10" s="31">
        <f t="shared" si="20"/>
        <v>3323.4227658578084</v>
      </c>
      <c r="BL10" s="31">
        <f t="shared" si="21"/>
        <v>3275.1056476886606</v>
      </c>
      <c r="BM10" s="31">
        <f t="shared" si="22"/>
        <v>3010.877108338239</v>
      </c>
      <c r="BN10" s="75">
        <f t="shared" si="23"/>
        <v>440695.8103725569</v>
      </c>
      <c r="BO10" s="23">
        <f t="shared" si="24"/>
        <v>318979.8246506126</v>
      </c>
      <c r="BQ10" s="12" t="str">
        <f>+'Input Data'!I13</f>
        <v>CVD_Ins</v>
      </c>
      <c r="BR10" s="31">
        <f t="shared" si="25"/>
        <v>3771.4789854888554</v>
      </c>
      <c r="BS10" s="31">
        <f t="shared" si="26"/>
        <v>3800.8191468312666</v>
      </c>
      <c r="BT10" s="31">
        <f t="shared" si="27"/>
        <v>3745.561467987749</v>
      </c>
      <c r="BU10" s="31">
        <f t="shared" si="28"/>
        <v>3443.377556323075</v>
      </c>
      <c r="BV10" s="75">
        <f t="shared" si="29"/>
        <v>504000</v>
      </c>
      <c r="BW10" s="23">
        <f t="shared" si="30"/>
        <v>364800</v>
      </c>
      <c r="CR10" s="7"/>
      <c r="CS10" s="7"/>
    </row>
    <row r="11" spans="5:97" ht="12.75">
      <c r="E11" s="12" t="str">
        <f>+'Input Data'!I14</f>
        <v>CVD_Ins(C) </v>
      </c>
      <c r="F11" s="221">
        <v>9.261260861586166</v>
      </c>
      <c r="G11" s="34">
        <f t="shared" si="2"/>
        <v>10</v>
      </c>
      <c r="H11" s="1">
        <f>+('Input Data'!K14+'Input Data'!L14+'Input Data'!M14)*F11/'Input Data'!O14</f>
        <v>7.501621297884794</v>
      </c>
      <c r="I11" s="20">
        <f>+'Input Data'!N14*F11</f>
        <v>1.9448647809330948</v>
      </c>
      <c r="J11" s="31">
        <f>+('Input Data'!K14+'Input Data'!L14+'Input Data'!M14)*G11/'Input Data'!O14</f>
        <v>8.1</v>
      </c>
      <c r="K11" s="13">
        <f>+'Input Data'!N14*G11</f>
        <v>2.1</v>
      </c>
      <c r="N11" s="12" t="str">
        <f>+'Input Data'!I14</f>
        <v>CVD_Ins(C) </v>
      </c>
      <c r="O11" s="157">
        <v>0.019792972576346875</v>
      </c>
      <c r="P11" s="395">
        <v>0.1809683814840814</v>
      </c>
      <c r="Q11" s="157">
        <v>0.02226701373883607</v>
      </c>
      <c r="R11" s="395">
        <v>0.17773609806801596</v>
      </c>
      <c r="S11" s="157">
        <v>0.02226701373883607</v>
      </c>
      <c r="T11" s="395">
        <v>0.17450465486079272</v>
      </c>
      <c r="U11" s="157">
        <v>0.024741698177758575</v>
      </c>
      <c r="V11" s="396">
        <v>0.15188371220138783</v>
      </c>
      <c r="W11" s="74"/>
      <c r="X11" s="12" t="str">
        <f>+'Input Data'!I14</f>
        <v>CVD_Ins(C) </v>
      </c>
      <c r="Y11" s="37">
        <f t="shared" si="3"/>
        <v>0.18330788225576963</v>
      </c>
      <c r="Z11" s="7">
        <f t="shared" si="4"/>
        <v>1.6759953886231176</v>
      </c>
      <c r="AA11" s="37">
        <f t="shared" si="5"/>
        <v>0.20622062284388396</v>
      </c>
      <c r="AB11" s="38">
        <f t="shared" si="6"/>
        <v>1.6460603687283568</v>
      </c>
      <c r="AC11" s="7">
        <f t="shared" si="7"/>
        <v>0.20622062284388396</v>
      </c>
      <c r="AD11" s="7">
        <f t="shared" si="8"/>
        <v>1.6161331302268618</v>
      </c>
      <c r="AE11" s="37">
        <f t="shared" si="9"/>
        <v>0.22913932098285325</v>
      </c>
      <c r="AF11" s="13">
        <f t="shared" si="10"/>
        <v>1.4066346793231304</v>
      </c>
      <c r="AH11" s="12" t="str">
        <f>+'Input Data'!I14</f>
        <v>CVD_Ins(C) </v>
      </c>
      <c r="AI11" s="12">
        <f t="shared" si="11"/>
        <v>0.19792972576346876</v>
      </c>
      <c r="AJ11" s="7">
        <f t="shared" si="12"/>
        <v>1.809683814840814</v>
      </c>
      <c r="AK11" s="37">
        <f t="shared" si="13"/>
        <v>0.22267013738836072</v>
      </c>
      <c r="AL11" s="38">
        <f t="shared" si="14"/>
        <v>1.7773609806801596</v>
      </c>
      <c r="AM11" s="7">
        <f t="shared" si="15"/>
        <v>0.22267013738836072</v>
      </c>
      <c r="AN11" s="7">
        <f t="shared" si="16"/>
        <v>1.7450465486079272</v>
      </c>
      <c r="AO11" s="37">
        <f t="shared" si="17"/>
        <v>0.24741698177758575</v>
      </c>
      <c r="AP11" s="13">
        <f t="shared" si="18"/>
        <v>1.5188371220138783</v>
      </c>
      <c r="AS11" s="6"/>
      <c r="AT11" s="12" t="str">
        <f>+'Input Data'!I14</f>
        <v>CVD_Ins(C) </v>
      </c>
      <c r="AU11" s="101">
        <f>+(O11+P11/2)*'Input Data'!$E$37</f>
        <v>16.541574497758138</v>
      </c>
      <c r="AV11" s="1">
        <f>+(Q11+R11/2)*'Input Data'!$E$37</f>
        <v>16.67025941592661</v>
      </c>
      <c r="AW11" s="97">
        <f>+(S11+T11/2)*'Input Data'!$E$37</f>
        <v>16.427901175384864</v>
      </c>
      <c r="AX11" s="23">
        <f>+(U11+V11/2)*'Input Data'!$E$37</f>
        <v>15.102533141767873</v>
      </c>
      <c r="BA11" s="12" t="str">
        <f>+'Input Data'!I14</f>
        <v>CVD_Ins(C) </v>
      </c>
      <c r="BB11" s="31">
        <f>+('Input Data'!$C$37/'Input Data'!$B$37+'Input Data'!$D$37)*AU11</f>
        <v>942.8697463722139</v>
      </c>
      <c r="BC11" s="31">
        <f>+('Input Data'!$C$37/'Input Data'!$B$37+'Input Data'!$D$37)*AV11</f>
        <v>950.2047867078167</v>
      </c>
      <c r="BD11" s="31">
        <f>+('Input Data'!$C$37/'Input Data'!$B$37+'Input Data'!$D$37)*AW11</f>
        <v>936.3903669969372</v>
      </c>
      <c r="BE11" s="31">
        <f>+('Input Data'!$C$37/'Input Data'!$B$37+'Input Data'!$D$37)*AX11</f>
        <v>860.8443890807688</v>
      </c>
      <c r="BF11" s="12">
        <f>+('Input Data'!$C$34/'Input Data'!$B$34+'Input Data'!$D$34)*'Input Data'!P14</f>
        <v>126000</v>
      </c>
      <c r="BG11" s="12">
        <f>+('Input Data'!$C$35/'Input Data'!$B$35+'Input Data'!$D$35)*'Input Data'!$Q14</f>
        <v>91200</v>
      </c>
      <c r="BI11" s="12" t="str">
        <f>+'Input Data'!I14</f>
        <v>CVD_Ins(C) </v>
      </c>
      <c r="BJ11" s="31">
        <f t="shared" si="19"/>
        <v>8732.162679650659</v>
      </c>
      <c r="BK11" s="31">
        <f t="shared" si="20"/>
        <v>8800.094401628932</v>
      </c>
      <c r="BL11" s="31">
        <f t="shared" si="21"/>
        <v>8672.155457035042</v>
      </c>
      <c r="BM11" s="31">
        <f t="shared" si="22"/>
        <v>7972.504448509778</v>
      </c>
      <c r="BN11" s="75">
        <f t="shared" si="23"/>
        <v>1166918.868559857</v>
      </c>
      <c r="BO11" s="23">
        <f t="shared" si="24"/>
        <v>844626.9905766584</v>
      </c>
      <c r="BQ11" s="12" t="str">
        <f>+'Input Data'!I14</f>
        <v>CVD_Ins(C) </v>
      </c>
      <c r="BR11" s="31">
        <f t="shared" si="25"/>
        <v>9428.69746372214</v>
      </c>
      <c r="BS11" s="31">
        <f t="shared" si="26"/>
        <v>9502.047867078167</v>
      </c>
      <c r="BT11" s="31">
        <f t="shared" si="27"/>
        <v>9363.903669969372</v>
      </c>
      <c r="BU11" s="31">
        <f t="shared" si="28"/>
        <v>8608.443890807688</v>
      </c>
      <c r="BV11" s="75">
        <f t="shared" si="29"/>
        <v>1260000</v>
      </c>
      <c r="BW11" s="23">
        <f t="shared" si="30"/>
        <v>912000</v>
      </c>
      <c r="CR11" s="7"/>
      <c r="CS11" s="7"/>
    </row>
    <row r="12" spans="5:97" ht="12.75">
      <c r="E12" s="12" t="str">
        <f>+'Input Data'!I15</f>
        <v>CVD_Ins(I)</v>
      </c>
      <c r="F12" s="221">
        <v>1.0837534135314162</v>
      </c>
      <c r="G12" s="34">
        <f t="shared" si="2"/>
        <v>2</v>
      </c>
      <c r="H12" s="1">
        <f>+('Input Data'!K15+'Input Data'!L15+'Input Data'!M15)*F12/'Input Data'!O15</f>
        <v>0.8778402649604471</v>
      </c>
      <c r="I12" s="20">
        <f>+'Input Data'!N15*F12</f>
        <v>0.22758821684159738</v>
      </c>
      <c r="J12" s="31">
        <f>+('Input Data'!K15+'Input Data'!L15+'Input Data'!M15)*G12/'Input Data'!O15</f>
        <v>1.6199999999999999</v>
      </c>
      <c r="K12" s="13">
        <f>+'Input Data'!N15*G12</f>
        <v>0.42</v>
      </c>
      <c r="N12" s="12" t="str">
        <f>+'Input Data'!I15</f>
        <v>CVD_Ins(I)</v>
      </c>
      <c r="O12" s="157">
        <v>0.019792972576346875</v>
      </c>
      <c r="P12" s="395">
        <v>0.1809683814840814</v>
      </c>
      <c r="Q12" s="157">
        <v>0.02226701373883607</v>
      </c>
      <c r="R12" s="395">
        <v>0.17773609806801596</v>
      </c>
      <c r="S12" s="157">
        <v>0.02226701373883607</v>
      </c>
      <c r="T12" s="395">
        <v>0.17450465486079272</v>
      </c>
      <c r="U12" s="157">
        <v>0.024741698177758575</v>
      </c>
      <c r="V12" s="396">
        <v>0.15188371220138783</v>
      </c>
      <c r="W12" s="74"/>
      <c r="X12" s="12" t="str">
        <f>+'Input Data'!I15</f>
        <v>CVD_Ins(I)</v>
      </c>
      <c r="Y12" s="37">
        <f t="shared" si="3"/>
        <v>0.021450701593549636</v>
      </c>
      <c r="Z12" s="7">
        <f t="shared" si="4"/>
        <v>0.19612510117462875</v>
      </c>
      <c r="AA12" s="37">
        <f t="shared" si="5"/>
        <v>0.024131952148614536</v>
      </c>
      <c r="AB12" s="38">
        <f t="shared" si="6"/>
        <v>0.19262210298896684</v>
      </c>
      <c r="AC12" s="7">
        <f t="shared" si="7"/>
        <v>0.024131952148614536</v>
      </c>
      <c r="AD12" s="7">
        <f t="shared" si="8"/>
        <v>0.18912001538250575</v>
      </c>
      <c r="AE12" s="37">
        <f t="shared" si="9"/>
        <v>0.026813899856709875</v>
      </c>
      <c r="AF12" s="13">
        <f t="shared" si="10"/>
        <v>0.16460449155807727</v>
      </c>
      <c r="AH12" s="12" t="str">
        <f>+'Input Data'!I15</f>
        <v>CVD_Ins(I)</v>
      </c>
      <c r="AI12" s="12">
        <f t="shared" si="11"/>
        <v>0.03958594515269375</v>
      </c>
      <c r="AJ12" s="7">
        <f t="shared" si="12"/>
        <v>0.3619367629681628</v>
      </c>
      <c r="AK12" s="37">
        <f t="shared" si="13"/>
        <v>0.04453402747767214</v>
      </c>
      <c r="AL12" s="38">
        <f t="shared" si="14"/>
        <v>0.3554721961360319</v>
      </c>
      <c r="AM12" s="7">
        <f t="shared" si="15"/>
        <v>0.04453402747767214</v>
      </c>
      <c r="AN12" s="7">
        <f t="shared" si="16"/>
        <v>0.34900930972158545</v>
      </c>
      <c r="AO12" s="37">
        <f t="shared" si="17"/>
        <v>0.04948339635551715</v>
      </c>
      <c r="AP12" s="13">
        <f t="shared" si="18"/>
        <v>0.30376742440277565</v>
      </c>
      <c r="AS12" s="6"/>
      <c r="AT12" s="12" t="str">
        <f>+'Input Data'!I15</f>
        <v>CVD_Ins(I)</v>
      </c>
      <c r="AU12" s="101">
        <f>+(O12+P12/2)*'Input Data'!$E$37</f>
        <v>16.541574497758138</v>
      </c>
      <c r="AV12" s="1">
        <f>+(Q12+R12/2)*'Input Data'!$E$37</f>
        <v>16.67025941592661</v>
      </c>
      <c r="AW12" s="97">
        <f>+(S12+T12/2)*'Input Data'!$E$37</f>
        <v>16.427901175384864</v>
      </c>
      <c r="AX12" s="23">
        <f>+(U12+V12/2)*'Input Data'!$E$37</f>
        <v>15.102533141767873</v>
      </c>
      <c r="BA12" s="12" t="str">
        <f>+'Input Data'!I15</f>
        <v>CVD_Ins(I)</v>
      </c>
      <c r="BB12" s="31">
        <f>+('Input Data'!$C$37/'Input Data'!$B$37+'Input Data'!$D$37)*AU12</f>
        <v>942.8697463722139</v>
      </c>
      <c r="BC12" s="31">
        <f>+('Input Data'!$C$37/'Input Data'!$B$37+'Input Data'!$D$37)*AV12</f>
        <v>950.2047867078167</v>
      </c>
      <c r="BD12" s="31">
        <f>+('Input Data'!$C$37/'Input Data'!$B$37+'Input Data'!$D$37)*AW12</f>
        <v>936.3903669969372</v>
      </c>
      <c r="BE12" s="31">
        <f>+('Input Data'!$C$37/'Input Data'!$B$37+'Input Data'!$D$37)*AX12</f>
        <v>860.8443890807688</v>
      </c>
      <c r="BF12" s="12">
        <f>+('Input Data'!$C$34/'Input Data'!$B$34+'Input Data'!$D$34)*'Input Data'!P15</f>
        <v>126000</v>
      </c>
      <c r="BG12" s="12">
        <f>+('Input Data'!$C$35/'Input Data'!$B$35+'Input Data'!$D$35)*'Input Data'!$Q15</f>
        <v>91200</v>
      </c>
      <c r="BI12" s="12" t="str">
        <f>+'Input Data'!I15</f>
        <v>CVD_Ins(I)</v>
      </c>
      <c r="BJ12" s="31">
        <f t="shared" si="19"/>
        <v>1021.8383061463874</v>
      </c>
      <c r="BK12" s="31">
        <f t="shared" si="20"/>
        <v>1029.7876811484875</v>
      </c>
      <c r="BL12" s="31">
        <f t="shared" si="21"/>
        <v>1014.8162566308663</v>
      </c>
      <c r="BM12" s="31">
        <f t="shared" si="22"/>
        <v>932.9430451856498</v>
      </c>
      <c r="BN12" s="75">
        <f t="shared" si="23"/>
        <v>136552.93010495845</v>
      </c>
      <c r="BO12" s="23">
        <f t="shared" si="24"/>
        <v>98838.31131406515</v>
      </c>
      <c r="BQ12" s="12" t="str">
        <f>+'Input Data'!I15</f>
        <v>CVD_Ins(I)</v>
      </c>
      <c r="BR12" s="31">
        <f t="shared" si="25"/>
        <v>1885.7394927444277</v>
      </c>
      <c r="BS12" s="31">
        <f t="shared" si="26"/>
        <v>1900.4095734156333</v>
      </c>
      <c r="BT12" s="31">
        <f t="shared" si="27"/>
        <v>1872.7807339938745</v>
      </c>
      <c r="BU12" s="31">
        <f t="shared" si="28"/>
        <v>1721.6887781615376</v>
      </c>
      <c r="BV12" s="75">
        <f t="shared" si="29"/>
        <v>252000</v>
      </c>
      <c r="BW12" s="23">
        <f t="shared" si="30"/>
        <v>182400</v>
      </c>
      <c r="CR12" s="7"/>
      <c r="CS12" s="7"/>
    </row>
    <row r="13" spans="5:138" ht="12.75">
      <c r="E13" s="12" t="str">
        <f>+'Input Data'!I16</f>
        <v>CVD_Ins_Thin</v>
      </c>
      <c r="F13" s="221">
        <v>1.6083184756148992</v>
      </c>
      <c r="G13" s="34">
        <f t="shared" si="2"/>
        <v>2</v>
      </c>
      <c r="H13" s="1">
        <f>+('Input Data'!K16+'Input Data'!L16+'Input Data'!M16)*F13/'Input Data'!O16</f>
        <v>0.8684919768320455</v>
      </c>
      <c r="I13" s="20">
        <f>+'Input Data'!N16*F13</f>
        <v>0.2251645865860859</v>
      </c>
      <c r="J13" s="31">
        <f>+('Input Data'!K16+'Input Data'!L16+'Input Data'!M16)*G13/'Input Data'!O16</f>
        <v>1.0799999999999998</v>
      </c>
      <c r="K13" s="13">
        <f>+'Input Data'!N16*G13</f>
        <v>0.28</v>
      </c>
      <c r="N13" s="12" t="str">
        <f>+'Input Data'!I16</f>
        <v>CVD_Ins_Thin</v>
      </c>
      <c r="O13" s="157">
        <v>0.019792972576346875</v>
      </c>
      <c r="P13" s="395">
        <v>0.30161396914013566</v>
      </c>
      <c r="Q13" s="157">
        <v>0.02226701373883607</v>
      </c>
      <c r="R13" s="395">
        <v>0.29622683011335993</v>
      </c>
      <c r="S13" s="157">
        <v>0.02226701373883607</v>
      </c>
      <c r="T13" s="395">
        <v>0.29084109143465453</v>
      </c>
      <c r="U13" s="157">
        <v>0.024741698177758575</v>
      </c>
      <c r="V13" s="396">
        <v>0.25313952033564635</v>
      </c>
      <c r="W13" s="74"/>
      <c r="X13" s="12" t="str">
        <f>+'Input Data'!I16</f>
        <v>CVD_Ins_Thin</v>
      </c>
      <c r="Y13" s="37">
        <f t="shared" si="3"/>
        <v>0.03183340348187771</v>
      </c>
      <c r="Z13" s="7">
        <f t="shared" si="4"/>
        <v>0.48509131907162223</v>
      </c>
      <c r="AA13" s="37">
        <f t="shared" si="5"/>
        <v>0.035812449592940845</v>
      </c>
      <c r="AB13" s="38">
        <f t="shared" si="6"/>
        <v>0.4764270838441527</v>
      </c>
      <c r="AC13" s="7">
        <f t="shared" si="7"/>
        <v>0.035812449592940845</v>
      </c>
      <c r="AD13" s="7">
        <f t="shared" si="8"/>
        <v>0.46776510082235706</v>
      </c>
      <c r="AE13" s="37">
        <f t="shared" si="9"/>
        <v>0.0397925302973766</v>
      </c>
      <c r="AF13" s="13">
        <f t="shared" si="10"/>
        <v>0.4071289674641135</v>
      </c>
      <c r="AH13" s="12" t="str">
        <f>+'Input Data'!I16</f>
        <v>CVD_Ins_Thin</v>
      </c>
      <c r="AI13" s="12">
        <f t="shared" si="11"/>
        <v>0.03958594515269375</v>
      </c>
      <c r="AJ13" s="7">
        <f t="shared" si="12"/>
        <v>0.6032279382802713</v>
      </c>
      <c r="AK13" s="37">
        <f t="shared" si="13"/>
        <v>0.04453402747767214</v>
      </c>
      <c r="AL13" s="38">
        <f t="shared" si="14"/>
        <v>0.5924536602267199</v>
      </c>
      <c r="AM13" s="7">
        <f t="shared" si="15"/>
        <v>0.04453402747767214</v>
      </c>
      <c r="AN13" s="7">
        <f t="shared" si="16"/>
        <v>0.5816821828693091</v>
      </c>
      <c r="AO13" s="37">
        <f t="shared" si="17"/>
        <v>0.04948339635551715</v>
      </c>
      <c r="AP13" s="13">
        <f t="shared" si="18"/>
        <v>0.5062790406712927</v>
      </c>
      <c r="AS13" s="6"/>
      <c r="AT13" s="12" t="str">
        <f>+'Input Data'!I16</f>
        <v>CVD_Ins_Thin</v>
      </c>
      <c r="AU13" s="101">
        <f>+(O13+P13/2)*'Input Data'!$E$37</f>
        <v>25.589993571962207</v>
      </c>
      <c r="AV13" s="1">
        <f>+(Q13+R13/2)*'Input Data'!$E$37</f>
        <v>25.557064319327406</v>
      </c>
      <c r="AW13" s="97">
        <f>+(S13+T13/2)*'Input Data'!$E$37</f>
        <v>25.1531339184245</v>
      </c>
      <c r="AX13" s="23">
        <f>+(U13+V13/2)*'Input Data'!$E$37</f>
        <v>22.69671875183726</v>
      </c>
      <c r="BA13" s="12" t="str">
        <f>+'Input Data'!I16</f>
        <v>CVD_Ins_Thin</v>
      </c>
      <c r="BB13" s="31">
        <f>+('Input Data'!$C$37/'Input Data'!$B$37+'Input Data'!$D$37)*AU13</f>
        <v>1458.6296336018459</v>
      </c>
      <c r="BC13" s="31">
        <f>+('Input Data'!$C$37/'Input Data'!$B$37+'Input Data'!$D$37)*AV13</f>
        <v>1456.7526662016621</v>
      </c>
      <c r="BD13" s="31">
        <f>+('Input Data'!$C$37/'Input Data'!$B$37+'Input Data'!$D$37)*AW13</f>
        <v>1433.7286333501966</v>
      </c>
      <c r="BE13" s="31">
        <f>+('Input Data'!$C$37/'Input Data'!$B$37+'Input Data'!$D$37)*AX13</f>
        <v>1293.7129688547238</v>
      </c>
      <c r="BF13" s="12">
        <f>+('Input Data'!$C$34/'Input Data'!$B$34+'Input Data'!$D$34)*'Input Data'!P16</f>
        <v>126000</v>
      </c>
      <c r="BG13" s="12">
        <f>+('Input Data'!$C$35/'Input Data'!$B$35+'Input Data'!$D$35)*'Input Data'!$Q16</f>
        <v>91200</v>
      </c>
      <c r="BI13" s="12" t="str">
        <f>+'Input Data'!I16</f>
        <v>CVD_Ins_Thin</v>
      </c>
      <c r="BJ13" s="31">
        <f t="shared" si="19"/>
        <v>2345.9409888012397</v>
      </c>
      <c r="BK13" s="31">
        <f t="shared" si="20"/>
        <v>2342.922227453397</v>
      </c>
      <c r="BL13" s="31">
        <f t="shared" si="21"/>
        <v>2305.892250035221</v>
      </c>
      <c r="BM13" s="31">
        <f t="shared" si="22"/>
        <v>2080.702469951655</v>
      </c>
      <c r="BN13" s="75">
        <f t="shared" si="23"/>
        <v>202648.1279274773</v>
      </c>
      <c r="BO13" s="23">
        <f t="shared" si="24"/>
        <v>146678.6449760788</v>
      </c>
      <c r="BQ13" s="12" t="str">
        <f>+'Input Data'!I16</f>
        <v>CVD_Ins_Thin</v>
      </c>
      <c r="BR13" s="31">
        <f t="shared" si="25"/>
        <v>2917.2592672036917</v>
      </c>
      <c r="BS13" s="31">
        <f t="shared" si="26"/>
        <v>2913.5053324033242</v>
      </c>
      <c r="BT13" s="31">
        <f t="shared" si="27"/>
        <v>2867.457266700393</v>
      </c>
      <c r="BU13" s="31">
        <f t="shared" si="28"/>
        <v>2587.4259377094477</v>
      </c>
      <c r="BV13" s="75">
        <f t="shared" si="29"/>
        <v>252000</v>
      </c>
      <c r="BW13" s="23">
        <f t="shared" si="30"/>
        <v>182400</v>
      </c>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row>
    <row r="14" spans="5:138" ht="12.75">
      <c r="E14" s="12" t="str">
        <f>+'Input Data'!I17</f>
        <v>CVD_Met</v>
      </c>
      <c r="F14" s="221">
        <v>1.1945810005793391</v>
      </c>
      <c r="G14" s="34">
        <f t="shared" si="2"/>
        <v>2</v>
      </c>
      <c r="H14" s="1">
        <f>+('Input Data'!K17+'Input Data'!L17+'Input Data'!M17)*F14/'Input Data'!O17</f>
        <v>1.1288790455474755</v>
      </c>
      <c r="I14" s="20">
        <f>+'Input Data'!N17*F14</f>
        <v>0.2926723451419381</v>
      </c>
      <c r="J14" s="31">
        <f>+('Input Data'!K17+'Input Data'!L17+'Input Data'!M17)*G14/'Input Data'!O17</f>
        <v>1.8900000000000001</v>
      </c>
      <c r="K14" s="13">
        <f>+'Input Data'!N17*G14</f>
        <v>0.49</v>
      </c>
      <c r="N14" s="12" t="str">
        <f>+'Input Data'!I17</f>
        <v>CVD_Met</v>
      </c>
      <c r="O14" s="157">
        <v>0.019792972576346875</v>
      </c>
      <c r="P14" s="395">
        <v>0.24129117531210859</v>
      </c>
      <c r="Q14" s="157">
        <v>0.02226701373883607</v>
      </c>
      <c r="R14" s="395">
        <v>0.236981464090688</v>
      </c>
      <c r="S14" s="157">
        <v>0.02226701373883607</v>
      </c>
      <c r="T14" s="395">
        <v>0.23267287314772367</v>
      </c>
      <c r="U14" s="157">
        <v>0.024741698177758575</v>
      </c>
      <c r="V14" s="396">
        <v>0.20251161626851713</v>
      </c>
      <c r="W14" s="74"/>
      <c r="X14" s="12" t="str">
        <f>+'Input Data'!I17</f>
        <v>CVD_Met</v>
      </c>
      <c r="Y14" s="37">
        <f t="shared" si="3"/>
        <v>0.02364430898469187</v>
      </c>
      <c r="Z14" s="7">
        <f t="shared" si="4"/>
        <v>0.2882418536353034</v>
      </c>
      <c r="AA14" s="37">
        <f t="shared" si="5"/>
        <v>0.026599751552052686</v>
      </c>
      <c r="AB14" s="38">
        <f t="shared" si="6"/>
        <v>0.2830935544922108</v>
      </c>
      <c r="AC14" s="7">
        <f t="shared" si="7"/>
        <v>0.026599751552052686</v>
      </c>
      <c r="AD14" s="7">
        <f t="shared" si="8"/>
        <v>0.27794659361247737</v>
      </c>
      <c r="AE14" s="37">
        <f t="shared" si="9"/>
        <v>0.02955596256521885</v>
      </c>
      <c r="AF14" s="13">
        <f t="shared" si="10"/>
        <v>0.24191652919098436</v>
      </c>
      <c r="AH14" s="12" t="str">
        <f>+'Input Data'!I17</f>
        <v>CVD_Met</v>
      </c>
      <c r="AI14" s="12">
        <f t="shared" si="11"/>
        <v>0.03958594515269375</v>
      </c>
      <c r="AJ14" s="7">
        <f t="shared" si="12"/>
        <v>0.48258235062421717</v>
      </c>
      <c r="AK14" s="37">
        <f t="shared" si="13"/>
        <v>0.04453402747767214</v>
      </c>
      <c r="AL14" s="38">
        <f t="shared" si="14"/>
        <v>0.473962928181376</v>
      </c>
      <c r="AM14" s="7">
        <f t="shared" si="15"/>
        <v>0.04453402747767214</v>
      </c>
      <c r="AN14" s="7">
        <f t="shared" si="16"/>
        <v>0.46534574629544734</v>
      </c>
      <c r="AO14" s="37">
        <f t="shared" si="17"/>
        <v>0.04948339635551715</v>
      </c>
      <c r="AP14" s="13">
        <f t="shared" si="18"/>
        <v>0.40502323253703426</v>
      </c>
      <c r="AT14" s="12" t="str">
        <f>+'Input Data'!I17</f>
        <v>CVD_Met</v>
      </c>
      <c r="AU14" s="101">
        <f>+(O14+P14/2)*'Input Data'!$E$37</f>
        <v>21.065784034860176</v>
      </c>
      <c r="AV14" s="1">
        <f>+(Q14+R14/2)*'Input Data'!$E$37</f>
        <v>21.113661867627012</v>
      </c>
      <c r="AW14" s="97">
        <f>+(S14+T14/2)*'Input Data'!$E$37</f>
        <v>20.790517546904688</v>
      </c>
      <c r="AX14" s="23">
        <f>+(U14+V14/2)*'Input Data'!$E$37</f>
        <v>18.899625946802573</v>
      </c>
      <c r="BA14" s="12" t="str">
        <f>+'Input Data'!I17</f>
        <v>CVD_Met</v>
      </c>
      <c r="BB14" s="31">
        <f>+('Input Data'!$C$37/'Input Data'!$B$37+'Input Data'!$D$37)*AU14</f>
        <v>1200.74968998703</v>
      </c>
      <c r="BC14" s="31">
        <f>+('Input Data'!$C$37/'Input Data'!$B$37+'Input Data'!$D$37)*AV14</f>
        <v>1203.4787264547397</v>
      </c>
      <c r="BD14" s="31">
        <f>+('Input Data'!$C$37/'Input Data'!$B$37+'Input Data'!$D$37)*AW14</f>
        <v>1185.0595001735671</v>
      </c>
      <c r="BE14" s="31">
        <f>+('Input Data'!$C$37/'Input Data'!$B$37+'Input Data'!$D$37)*AX14</f>
        <v>1077.2786789677466</v>
      </c>
      <c r="BF14" s="12">
        <f>+('Input Data'!$C$34/'Input Data'!$B$34+'Input Data'!$D$34)*'Input Data'!P17</f>
        <v>126000</v>
      </c>
      <c r="BG14" s="12">
        <f>+('Input Data'!$C$35/'Input Data'!$B$35+'Input Data'!$D$35)*'Input Data'!$Q17</f>
        <v>91200</v>
      </c>
      <c r="BI14" s="12" t="str">
        <f>+'Input Data'!I17</f>
        <v>CVD_Met</v>
      </c>
      <c r="BJ14" s="31">
        <f t="shared" si="19"/>
        <v>1434.3927661100377</v>
      </c>
      <c r="BK14" s="31">
        <f t="shared" si="20"/>
        <v>1437.6528212242517</v>
      </c>
      <c r="BL14" s="31">
        <f t="shared" si="21"/>
        <v>1415.6495634633914</v>
      </c>
      <c r="BM14" s="31">
        <f t="shared" si="22"/>
        <v>1286.8966422240794</v>
      </c>
      <c r="BN14" s="75">
        <f t="shared" si="23"/>
        <v>150517.20607299672</v>
      </c>
      <c r="BO14" s="23">
        <f t="shared" si="24"/>
        <v>108945.78725283573</v>
      </c>
      <c r="BQ14" s="12" t="str">
        <f>+'Input Data'!I17</f>
        <v>CVD_Met</v>
      </c>
      <c r="BR14" s="31">
        <f t="shared" si="25"/>
        <v>2401.49937997406</v>
      </c>
      <c r="BS14" s="31">
        <f t="shared" si="26"/>
        <v>2406.9574529094793</v>
      </c>
      <c r="BT14" s="31">
        <f t="shared" si="27"/>
        <v>2370.1190003471343</v>
      </c>
      <c r="BU14" s="31">
        <f t="shared" si="28"/>
        <v>2154.557357935493</v>
      </c>
      <c r="BV14" s="75">
        <f t="shared" si="29"/>
        <v>252000</v>
      </c>
      <c r="BW14" s="23">
        <f t="shared" si="30"/>
        <v>182400</v>
      </c>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row>
    <row r="15" spans="5:138" ht="12.75">
      <c r="E15" s="12" t="str">
        <f>+'Input Data'!I18</f>
        <v>CVD_Met(C) </v>
      </c>
      <c r="F15" s="221">
        <v>4.750450303902725</v>
      </c>
      <c r="G15" s="34">
        <f t="shared" si="2"/>
        <v>5</v>
      </c>
      <c r="H15" s="1">
        <f>+('Input Data'!K18+'Input Data'!L18+'Input Data'!M18)*F15/'Input Data'!O18</f>
        <v>4.489175537188076</v>
      </c>
      <c r="I15" s="20">
        <f>+'Input Data'!N18*F15</f>
        <v>1.1638603244561676</v>
      </c>
      <c r="J15" s="31">
        <f>+('Input Data'!K18+'Input Data'!L18+'Input Data'!M18)*G15/'Input Data'!O18</f>
        <v>4.7250000000000005</v>
      </c>
      <c r="K15" s="13">
        <f>+'Input Data'!N18*G15</f>
        <v>1.225</v>
      </c>
      <c r="N15" s="12" t="str">
        <f>+'Input Data'!I18</f>
        <v>CVD_Met(C) </v>
      </c>
      <c r="O15" s="157">
        <v>0.019792972576346875</v>
      </c>
      <c r="P15" s="395">
        <v>0.24129117531210859</v>
      </c>
      <c r="Q15" s="157">
        <v>0.02226701373883607</v>
      </c>
      <c r="R15" s="395">
        <v>0.236981464090688</v>
      </c>
      <c r="S15" s="157">
        <v>0.02226701373883607</v>
      </c>
      <c r="T15" s="395">
        <v>0.23267287314772367</v>
      </c>
      <c r="U15" s="157">
        <v>0.024741698177758575</v>
      </c>
      <c r="V15" s="396">
        <v>0.20251161626851713</v>
      </c>
      <c r="W15" s="74"/>
      <c r="X15" s="12" t="str">
        <f>+'Input Data'!I18</f>
        <v>CVD_Met(C) </v>
      </c>
      <c r="Y15" s="37">
        <f t="shared" si="3"/>
        <v>0.09402553259044531</v>
      </c>
      <c r="Z15" s="7">
        <f t="shared" si="4"/>
        <v>1.1462417370904519</v>
      </c>
      <c r="AA15" s="37">
        <f t="shared" si="5"/>
        <v>0.10577834218265997</v>
      </c>
      <c r="AB15" s="38">
        <f t="shared" si="6"/>
        <v>1.1257686681089214</v>
      </c>
      <c r="AC15" s="7">
        <f t="shared" si="7"/>
        <v>0.10577834218265997</v>
      </c>
      <c r="AD15" s="7">
        <f t="shared" si="8"/>
        <v>1.1053009209545241</v>
      </c>
      <c r="AE15" s="37">
        <f t="shared" si="9"/>
        <v>0.11753420762760272</v>
      </c>
      <c r="AF15" s="13">
        <f t="shared" si="10"/>
        <v>0.9620213690466093</v>
      </c>
      <c r="AH15" s="12" t="str">
        <f>+'Input Data'!I18</f>
        <v>CVD_Met(C) </v>
      </c>
      <c r="AI15" s="12">
        <f t="shared" si="11"/>
        <v>0.09896486288173438</v>
      </c>
      <c r="AJ15" s="7">
        <f t="shared" si="12"/>
        <v>1.2064558765605429</v>
      </c>
      <c r="AK15" s="37">
        <f t="shared" si="13"/>
        <v>0.11133506869418036</v>
      </c>
      <c r="AL15" s="38">
        <f t="shared" si="14"/>
        <v>1.18490732045344</v>
      </c>
      <c r="AM15" s="7">
        <f t="shared" si="15"/>
        <v>0.11133506869418036</v>
      </c>
      <c r="AN15" s="7">
        <f t="shared" si="16"/>
        <v>1.1633643657386183</v>
      </c>
      <c r="AO15" s="37">
        <f t="shared" si="17"/>
        <v>0.12370849088879288</v>
      </c>
      <c r="AP15" s="13">
        <f t="shared" si="18"/>
        <v>1.0125580813425856</v>
      </c>
      <c r="AT15" s="12" t="str">
        <f>+'Input Data'!I18</f>
        <v>CVD_Met(C) </v>
      </c>
      <c r="AU15" s="101">
        <f>+(O15+P15/2)*'Input Data'!$E$37</f>
        <v>21.065784034860176</v>
      </c>
      <c r="AV15" s="1">
        <f>+(Q15+R15/2)*'Input Data'!$E$37</f>
        <v>21.113661867627012</v>
      </c>
      <c r="AW15" s="97">
        <f>+(S15+T15/2)*'Input Data'!$E$37</f>
        <v>20.790517546904688</v>
      </c>
      <c r="AX15" s="23">
        <f>+(U15+V15/2)*'Input Data'!$E$37</f>
        <v>18.899625946802573</v>
      </c>
      <c r="BA15" s="12" t="str">
        <f>+'Input Data'!I18</f>
        <v>CVD_Met(C) </v>
      </c>
      <c r="BB15" s="31">
        <f>+('Input Data'!$C$37/'Input Data'!$B$37+'Input Data'!$D$37)*AU15</f>
        <v>1200.74968998703</v>
      </c>
      <c r="BC15" s="31">
        <f>+('Input Data'!$C$37/'Input Data'!$B$37+'Input Data'!$D$37)*AV15</f>
        <v>1203.4787264547397</v>
      </c>
      <c r="BD15" s="31">
        <f>+('Input Data'!$C$37/'Input Data'!$B$37+'Input Data'!$D$37)*AW15</f>
        <v>1185.0595001735671</v>
      </c>
      <c r="BE15" s="31">
        <f>+('Input Data'!$C$37/'Input Data'!$B$37+'Input Data'!$D$37)*AX15</f>
        <v>1077.2786789677466</v>
      </c>
      <c r="BF15" s="12">
        <f>+('Input Data'!$C$34/'Input Data'!$B$34+'Input Data'!$D$34)*'Input Data'!P18</f>
        <v>126000</v>
      </c>
      <c r="BG15" s="12">
        <f>+('Input Data'!$C$35/'Input Data'!$B$35+'Input Data'!$D$35)*'Input Data'!$Q18</f>
        <v>91200</v>
      </c>
      <c r="BI15" s="12" t="str">
        <f>+'Input Data'!I18</f>
        <v>CVD_Met(C) </v>
      </c>
      <c r="BJ15" s="31">
        <f t="shared" si="19"/>
        <v>5704.10172970999</v>
      </c>
      <c r="BK15" s="31">
        <f t="shared" si="20"/>
        <v>5717.065881827382</v>
      </c>
      <c r="BL15" s="31">
        <f t="shared" si="21"/>
        <v>5629.5662627423335</v>
      </c>
      <c r="BM15" s="31">
        <f t="shared" si="22"/>
        <v>5117.558827890258</v>
      </c>
      <c r="BN15" s="75">
        <f t="shared" si="23"/>
        <v>598556.7382917433</v>
      </c>
      <c r="BO15" s="23">
        <f t="shared" si="24"/>
        <v>433241.06771592854</v>
      </c>
      <c r="BQ15" s="12" t="str">
        <f>+'Input Data'!I18</f>
        <v>CVD_Met(C) </v>
      </c>
      <c r="BR15" s="31">
        <f t="shared" si="25"/>
        <v>6003.74844993515</v>
      </c>
      <c r="BS15" s="31">
        <f t="shared" si="26"/>
        <v>6017.393632273698</v>
      </c>
      <c r="BT15" s="31">
        <f t="shared" si="27"/>
        <v>5925.297500867836</v>
      </c>
      <c r="BU15" s="31">
        <f t="shared" si="28"/>
        <v>5386.393394838733</v>
      </c>
      <c r="BV15" s="75">
        <f t="shared" si="29"/>
        <v>630000</v>
      </c>
      <c r="BW15" s="23">
        <f t="shared" si="30"/>
        <v>456000</v>
      </c>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row>
    <row r="16" spans="5:138" ht="12.75">
      <c r="E16" s="12" t="str">
        <f>+'Input Data'!I19</f>
        <v>CVD_MetW</v>
      </c>
      <c r="F16" s="221">
        <v>1.0238534788138438</v>
      </c>
      <c r="G16" s="34">
        <f t="shared" si="2"/>
        <v>2</v>
      </c>
      <c r="H16" s="1">
        <f>+('Input Data'!K19+'Input Data'!L19+'Input Data'!M19)*F16/'Input Data'!O19</f>
        <v>0.9675415374790826</v>
      </c>
      <c r="I16" s="20">
        <f>+'Input Data'!N19*F16</f>
        <v>0.25084410230939175</v>
      </c>
      <c r="J16" s="31">
        <f>+('Input Data'!K19+'Input Data'!L19+'Input Data'!M19)*G16/'Input Data'!O19</f>
        <v>1.8900000000000001</v>
      </c>
      <c r="K16" s="13">
        <f>+'Input Data'!N19*G16</f>
        <v>0.49</v>
      </c>
      <c r="N16" s="12" t="str">
        <f>+'Input Data'!I19</f>
        <v>CVD_MetW</v>
      </c>
      <c r="O16" s="157">
        <v>0.019792972576346875</v>
      </c>
      <c r="P16" s="395">
        <v>0.24129117531210859</v>
      </c>
      <c r="Q16" s="157">
        <v>0.02226701373883607</v>
      </c>
      <c r="R16" s="395">
        <v>0.236981464090688</v>
      </c>
      <c r="S16" s="157">
        <v>0.02226701373883607</v>
      </c>
      <c r="T16" s="395">
        <v>0.23267287314772367</v>
      </c>
      <c r="U16" s="157">
        <v>0.024741698177758575</v>
      </c>
      <c r="V16" s="396">
        <v>0.20251161626851713</v>
      </c>
      <c r="W16" s="74"/>
      <c r="X16" s="12" t="str">
        <f>+'Input Data'!I19</f>
        <v>CVD_MetW</v>
      </c>
      <c r="Y16" s="37">
        <f t="shared" si="3"/>
        <v>0.02026510382835976</v>
      </c>
      <c r="Z16" s="7">
        <f t="shared" si="4"/>
        <v>0.24704680925038344</v>
      </c>
      <c r="AA16" s="37">
        <f t="shared" si="5"/>
        <v>0.022798159479302967</v>
      </c>
      <c r="AB16" s="38">
        <f t="shared" si="6"/>
        <v>0.2426342964236489</v>
      </c>
      <c r="AC16" s="7">
        <f t="shared" si="7"/>
        <v>0.022798159479302967</v>
      </c>
      <c r="AD16" s="7">
        <f t="shared" si="8"/>
        <v>0.23822293059790906</v>
      </c>
      <c r="AE16" s="37">
        <f t="shared" si="9"/>
        <v>0.025331873751060257</v>
      </c>
      <c r="AF16" s="13">
        <f t="shared" si="10"/>
        <v>0.20734222281673548</v>
      </c>
      <c r="AH16" s="12" t="str">
        <f>+'Input Data'!I19</f>
        <v>CVD_MetW</v>
      </c>
      <c r="AI16" s="12">
        <f t="shared" si="11"/>
        <v>0.03958594515269375</v>
      </c>
      <c r="AJ16" s="7">
        <f t="shared" si="12"/>
        <v>0.48258235062421717</v>
      </c>
      <c r="AK16" s="37">
        <f t="shared" si="13"/>
        <v>0.04453402747767214</v>
      </c>
      <c r="AL16" s="38">
        <f t="shared" si="14"/>
        <v>0.473962928181376</v>
      </c>
      <c r="AM16" s="7">
        <f t="shared" si="15"/>
        <v>0.04453402747767214</v>
      </c>
      <c r="AN16" s="7">
        <f t="shared" si="16"/>
        <v>0.46534574629544734</v>
      </c>
      <c r="AO16" s="37">
        <f t="shared" si="17"/>
        <v>0.04948339635551715</v>
      </c>
      <c r="AP16" s="13">
        <f t="shared" si="18"/>
        <v>0.40502323253703426</v>
      </c>
      <c r="AT16" s="12" t="str">
        <f>+'Input Data'!I19</f>
        <v>CVD_MetW</v>
      </c>
      <c r="AU16" s="101">
        <f>+(O16+P16/2)*'Input Data'!$E$37</f>
        <v>21.065784034860176</v>
      </c>
      <c r="AV16" s="1">
        <f>+(Q16+R16/2)*'Input Data'!$E$37</f>
        <v>21.113661867627012</v>
      </c>
      <c r="AW16" s="97">
        <f>+(S16+T16/2)*'Input Data'!$E$37</f>
        <v>20.790517546904688</v>
      </c>
      <c r="AX16" s="23">
        <f>+(U16+V16/2)*'Input Data'!$E$37</f>
        <v>18.899625946802573</v>
      </c>
      <c r="BA16" s="12" t="str">
        <f>+'Input Data'!I19</f>
        <v>CVD_MetW</v>
      </c>
      <c r="BB16" s="31">
        <f>+('Input Data'!$C$37/'Input Data'!$B$37+'Input Data'!$D$37)*AU16</f>
        <v>1200.74968998703</v>
      </c>
      <c r="BC16" s="31">
        <f>+('Input Data'!$C$37/'Input Data'!$B$37+'Input Data'!$D$37)*AV16</f>
        <v>1203.4787264547397</v>
      </c>
      <c r="BD16" s="31">
        <f>+('Input Data'!$C$37/'Input Data'!$B$37+'Input Data'!$D$37)*AW16</f>
        <v>1185.0595001735671</v>
      </c>
      <c r="BE16" s="31">
        <f>+('Input Data'!$C$37/'Input Data'!$B$37+'Input Data'!$D$37)*AX16</f>
        <v>1077.2786789677466</v>
      </c>
      <c r="BF16" s="12">
        <f>+('Input Data'!$C$34/'Input Data'!$B$34+'Input Data'!$D$34)*'Input Data'!P19</f>
        <v>126000</v>
      </c>
      <c r="BG16" s="12">
        <f>+('Input Data'!$C$35/'Input Data'!$B$35+'Input Data'!$D$35)*'Input Data'!$Q19</f>
        <v>91200</v>
      </c>
      <c r="BI16" s="12" t="str">
        <f>+'Input Data'!I19</f>
        <v>CVD_MetW</v>
      </c>
      <c r="BJ16" s="31">
        <f t="shared" si="19"/>
        <v>1229.391747277865</v>
      </c>
      <c r="BK16" s="31">
        <f t="shared" si="20"/>
        <v>1232.1858807591395</v>
      </c>
      <c r="BL16" s="31">
        <f t="shared" si="21"/>
        <v>1213.3272918541018</v>
      </c>
      <c r="BM16" s="31">
        <f t="shared" si="22"/>
        <v>1102.9755231131094</v>
      </c>
      <c r="BN16" s="75">
        <f t="shared" si="23"/>
        <v>129005.53833054432</v>
      </c>
      <c r="BO16" s="23">
        <f t="shared" si="24"/>
        <v>93375.43726782255</v>
      </c>
      <c r="BQ16" s="12" t="str">
        <f>+'Input Data'!I19</f>
        <v>CVD_MetW</v>
      </c>
      <c r="BR16" s="31">
        <f t="shared" si="25"/>
        <v>2401.49937997406</v>
      </c>
      <c r="BS16" s="31">
        <f t="shared" si="26"/>
        <v>2406.9574529094793</v>
      </c>
      <c r="BT16" s="31">
        <f t="shared" si="27"/>
        <v>2370.1190003471343</v>
      </c>
      <c r="BU16" s="31">
        <f t="shared" si="28"/>
        <v>2154.557357935493</v>
      </c>
      <c r="BV16" s="75">
        <f t="shared" si="29"/>
        <v>252000</v>
      </c>
      <c r="BW16" s="23">
        <f t="shared" si="30"/>
        <v>182400</v>
      </c>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row>
    <row r="17" spans="5:138" ht="12.75">
      <c r="E17" s="12" t="str">
        <f>+'Input Data'!I20</f>
        <v>CVD_MetW(C) </v>
      </c>
      <c r="F17" s="221">
        <v>4.071523879271721</v>
      </c>
      <c r="G17" s="34">
        <f t="shared" si="2"/>
        <v>5</v>
      </c>
      <c r="H17" s="1">
        <f>+('Input Data'!K20+'Input Data'!L20+'Input Data'!M20)*F17/'Input Data'!O20</f>
        <v>3.8475900659117768</v>
      </c>
      <c r="I17" s="20">
        <f>+'Input Data'!N20*F17</f>
        <v>0.9975233504215717</v>
      </c>
      <c r="J17" s="31">
        <f>+('Input Data'!K20+'Input Data'!L20+'Input Data'!M20)*G17/'Input Data'!O20</f>
        <v>4.7250000000000005</v>
      </c>
      <c r="K17" s="13">
        <f>+'Input Data'!N20*G17</f>
        <v>1.225</v>
      </c>
      <c r="N17" s="12" t="str">
        <f>+'Input Data'!I20</f>
        <v>CVD_MetW(C) </v>
      </c>
      <c r="O17" s="157">
        <v>0.019792972576346875</v>
      </c>
      <c r="P17" s="395">
        <v>0.24129117531210859</v>
      </c>
      <c r="Q17" s="157">
        <v>0.02226701373883607</v>
      </c>
      <c r="R17" s="395">
        <v>0.236981464090688</v>
      </c>
      <c r="S17" s="157">
        <v>0.02226701373883607</v>
      </c>
      <c r="T17" s="395">
        <v>0.23267287314772367</v>
      </c>
      <c r="U17" s="157">
        <v>0.024741698177758575</v>
      </c>
      <c r="V17" s="396">
        <v>0.20251161626851713</v>
      </c>
      <c r="W17" s="74"/>
      <c r="X17" s="12" t="str">
        <f>+'Input Data'!I20</f>
        <v>CVD_MetW(C) </v>
      </c>
      <c r="Y17" s="37">
        <f t="shared" si="3"/>
        <v>0.08058756048636663</v>
      </c>
      <c r="Z17" s="7">
        <f t="shared" si="4"/>
        <v>0.9824227821407893</v>
      </c>
      <c r="AA17" s="37">
        <f t="shared" si="5"/>
        <v>0.09066067815774255</v>
      </c>
      <c r="AB17" s="38">
        <f t="shared" si="6"/>
        <v>0.96487568999001</v>
      </c>
      <c r="AC17" s="7">
        <f t="shared" si="7"/>
        <v>0.09066067815774255</v>
      </c>
      <c r="AD17" s="7">
        <f t="shared" si="8"/>
        <v>0.9473331590797169</v>
      </c>
      <c r="AE17" s="37">
        <f t="shared" si="9"/>
        <v>0.10073641494447767</v>
      </c>
      <c r="AF17" s="13">
        <f t="shared" si="10"/>
        <v>0.8245308814671791</v>
      </c>
      <c r="AH17" s="12" t="str">
        <f>+'Input Data'!I20</f>
        <v>CVD_MetW(C) </v>
      </c>
      <c r="AI17" s="12">
        <f t="shared" si="11"/>
        <v>0.09896486288173438</v>
      </c>
      <c r="AJ17" s="7">
        <f t="shared" si="12"/>
        <v>1.2064558765605429</v>
      </c>
      <c r="AK17" s="37">
        <f t="shared" si="13"/>
        <v>0.11133506869418036</v>
      </c>
      <c r="AL17" s="38">
        <f t="shared" si="14"/>
        <v>1.18490732045344</v>
      </c>
      <c r="AM17" s="7">
        <f t="shared" si="15"/>
        <v>0.11133506869418036</v>
      </c>
      <c r="AN17" s="7">
        <f t="shared" si="16"/>
        <v>1.1633643657386183</v>
      </c>
      <c r="AO17" s="37">
        <f t="shared" si="17"/>
        <v>0.12370849088879288</v>
      </c>
      <c r="AP17" s="13">
        <f t="shared" si="18"/>
        <v>1.0125580813425856</v>
      </c>
      <c r="AT17" s="12" t="str">
        <f>+'Input Data'!I20</f>
        <v>CVD_MetW(C) </v>
      </c>
      <c r="AU17" s="101">
        <f>+(O17+P17/2)*'Input Data'!$E$37</f>
        <v>21.065784034860176</v>
      </c>
      <c r="AV17" s="1">
        <f>+(Q17+R17/2)*'Input Data'!$E$37</f>
        <v>21.113661867627012</v>
      </c>
      <c r="AW17" s="97">
        <f>+(S17+T17/2)*'Input Data'!$E$37</f>
        <v>20.790517546904688</v>
      </c>
      <c r="AX17" s="23">
        <f>+(U17+V17/2)*'Input Data'!$E$37</f>
        <v>18.899625946802573</v>
      </c>
      <c r="BA17" s="12" t="str">
        <f>+'Input Data'!I20</f>
        <v>CVD_MetW(C) </v>
      </c>
      <c r="BB17" s="31">
        <f>+('Input Data'!$C$37/'Input Data'!$B$37+'Input Data'!$D$37)*AU17</f>
        <v>1200.74968998703</v>
      </c>
      <c r="BC17" s="31">
        <f>+('Input Data'!$C$37/'Input Data'!$B$37+'Input Data'!$D$37)*AV17</f>
        <v>1203.4787264547397</v>
      </c>
      <c r="BD17" s="31">
        <f>+('Input Data'!$C$37/'Input Data'!$B$37+'Input Data'!$D$37)*AW17</f>
        <v>1185.0595001735671</v>
      </c>
      <c r="BE17" s="31">
        <f>+('Input Data'!$C$37/'Input Data'!$B$37+'Input Data'!$D$37)*AX17</f>
        <v>1077.2786789677466</v>
      </c>
      <c r="BF17" s="12">
        <f>+('Input Data'!$C$34/'Input Data'!$B$34+'Input Data'!$D$34)*'Input Data'!P20</f>
        <v>126000</v>
      </c>
      <c r="BG17" s="12">
        <f>+('Input Data'!$C$35/'Input Data'!$B$35+'Input Data'!$D$35)*'Input Data'!$Q20</f>
        <v>91200</v>
      </c>
      <c r="BI17" s="12" t="str">
        <f>+'Input Data'!I20</f>
        <v>CVD_MetW(C) </v>
      </c>
      <c r="BJ17" s="31">
        <f t="shared" si="19"/>
        <v>4888.881035810309</v>
      </c>
      <c r="BK17" s="31">
        <f t="shared" si="20"/>
        <v>4899.992372955992</v>
      </c>
      <c r="BL17" s="31">
        <f t="shared" si="21"/>
        <v>4824.998053314489</v>
      </c>
      <c r="BM17" s="31">
        <f t="shared" si="22"/>
        <v>4386.165866047475</v>
      </c>
      <c r="BN17" s="75">
        <f t="shared" si="23"/>
        <v>513012.0087882369</v>
      </c>
      <c r="BO17" s="23">
        <f t="shared" si="24"/>
        <v>371322.977789581</v>
      </c>
      <c r="BQ17" s="12" t="str">
        <f>+'Input Data'!I20</f>
        <v>CVD_MetW(C) </v>
      </c>
      <c r="BR17" s="31">
        <f t="shared" si="25"/>
        <v>6003.74844993515</v>
      </c>
      <c r="BS17" s="31">
        <f t="shared" si="26"/>
        <v>6017.393632273698</v>
      </c>
      <c r="BT17" s="31">
        <f t="shared" si="27"/>
        <v>5925.297500867836</v>
      </c>
      <c r="BU17" s="31">
        <f t="shared" si="28"/>
        <v>5386.393394838733</v>
      </c>
      <c r="BV17" s="75">
        <f t="shared" si="29"/>
        <v>630000</v>
      </c>
      <c r="BW17" s="23">
        <f t="shared" si="30"/>
        <v>456000</v>
      </c>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row>
    <row r="18" spans="5:138" ht="12.75">
      <c r="E18" s="12" t="str">
        <f>+'Input Data'!I21</f>
        <v>Dry_Etch</v>
      </c>
      <c r="F18" s="221">
        <v>2.352704947693884</v>
      </c>
      <c r="G18" s="34">
        <f t="shared" si="2"/>
        <v>3</v>
      </c>
      <c r="H18" s="1">
        <f>+('Input Data'!K21+'Input Data'!L21+'Input Data'!M21)*F18/'Input Data'!O21</f>
        <v>1.5880758396933716</v>
      </c>
      <c r="I18" s="20">
        <f>+'Input Data'!N21*F18</f>
        <v>0.41172336584642966</v>
      </c>
      <c r="J18" s="31">
        <f>+('Input Data'!K21+'Input Data'!L21+'Input Data'!M21)*G18/'Input Data'!O21</f>
        <v>2.025</v>
      </c>
      <c r="K18" s="13">
        <f>+'Input Data'!N21*G18</f>
        <v>0.5249999999999999</v>
      </c>
      <c r="N18" s="12" t="str">
        <f>+'Input Data'!I21</f>
        <v>Dry_Etch</v>
      </c>
      <c r="O18" s="157">
        <v>0.03958594515269375</v>
      </c>
      <c r="P18" s="395">
        <v>0.1809683814840814</v>
      </c>
      <c r="Q18" s="157">
        <v>0.04453402747767214</v>
      </c>
      <c r="R18" s="395">
        <v>0.17773609806801596</v>
      </c>
      <c r="S18" s="157">
        <v>0.04453402747767214</v>
      </c>
      <c r="T18" s="395">
        <v>0.17450465486079272</v>
      </c>
      <c r="U18" s="157">
        <v>0.04948339635551715</v>
      </c>
      <c r="V18" s="396">
        <v>0.15188371220138783</v>
      </c>
      <c r="W18" s="74"/>
      <c r="X18" s="12" t="str">
        <f>+'Input Data'!I21</f>
        <v>Dry_Etch</v>
      </c>
      <c r="Y18" s="37">
        <f t="shared" si="3"/>
        <v>0.09313404901988132</v>
      </c>
      <c r="Z18" s="7">
        <f t="shared" si="4"/>
        <v>0.42576520649375255</v>
      </c>
      <c r="AA18" s="37">
        <f t="shared" si="5"/>
        <v>0.10477542678745462</v>
      </c>
      <c r="AB18" s="38">
        <f t="shared" si="6"/>
        <v>0.41816059730842653</v>
      </c>
      <c r="AC18" s="7">
        <f t="shared" si="7"/>
        <v>0.10477542678745462</v>
      </c>
      <c r="AD18" s="7">
        <f t="shared" si="8"/>
        <v>0.4105579648866006</v>
      </c>
      <c r="AE18" s="37">
        <f t="shared" si="9"/>
        <v>0.1164198314343227</v>
      </c>
      <c r="AF18" s="13">
        <f t="shared" si="10"/>
        <v>0.35733756117031906</v>
      </c>
      <c r="AH18" s="12" t="str">
        <f>+'Input Data'!I21</f>
        <v>Dry_Etch</v>
      </c>
      <c r="AI18" s="12">
        <f t="shared" si="11"/>
        <v>0.11875783545808125</v>
      </c>
      <c r="AJ18" s="7">
        <f t="shared" si="12"/>
        <v>0.5429051444522441</v>
      </c>
      <c r="AK18" s="37">
        <f t="shared" si="13"/>
        <v>0.1336020824330164</v>
      </c>
      <c r="AL18" s="38">
        <f t="shared" si="14"/>
        <v>0.5332082942040479</v>
      </c>
      <c r="AM18" s="7">
        <f t="shared" si="15"/>
        <v>0.1336020824330164</v>
      </c>
      <c r="AN18" s="7">
        <f t="shared" si="16"/>
        <v>0.5235139645823782</v>
      </c>
      <c r="AO18" s="37">
        <f t="shared" si="17"/>
        <v>0.14845018906655144</v>
      </c>
      <c r="AP18" s="13">
        <f t="shared" si="18"/>
        <v>0.45565113660416345</v>
      </c>
      <c r="AT18" s="12" t="str">
        <f>+'Input Data'!I21</f>
        <v>Dry_Etch</v>
      </c>
      <c r="AU18" s="101">
        <f>+(O18+P18/2)*'Input Data'!$E$37</f>
        <v>19.510520384210167</v>
      </c>
      <c r="AV18" s="1">
        <f>+(Q18+R18/2)*'Input Data'!$E$37</f>
        <v>20.01031147675202</v>
      </c>
      <c r="AW18" s="97">
        <f>+(S18+T18/2)*'Input Data'!$E$37</f>
        <v>19.767953236210275</v>
      </c>
      <c r="AX18" s="23">
        <f>+(U18+V18/2)*'Input Data'!$E$37</f>
        <v>18.813787868431657</v>
      </c>
      <c r="BA18" s="12" t="str">
        <f>+'Input Data'!I21</f>
        <v>Dry_Etch</v>
      </c>
      <c r="BB18" s="31">
        <f>+('Input Data'!$C$37/'Input Data'!$B$37+'Input Data'!$D$37)*AU18</f>
        <v>1112.0996618999795</v>
      </c>
      <c r="BC18" s="31">
        <f>+('Input Data'!$C$37/'Input Data'!$B$37+'Input Data'!$D$37)*AV18</f>
        <v>1140.587754174865</v>
      </c>
      <c r="BD18" s="31">
        <f>+('Input Data'!$C$37/'Input Data'!$B$37+'Input Data'!$D$37)*AW18</f>
        <v>1126.7733344639857</v>
      </c>
      <c r="BE18" s="31">
        <f>+('Input Data'!$C$37/'Input Data'!$B$37+'Input Data'!$D$37)*AX18</f>
        <v>1072.3859085006045</v>
      </c>
      <c r="BF18" s="12">
        <f>+('Input Data'!$C$34/'Input Data'!$B$34+'Input Data'!$D$34)*'Input Data'!P21</f>
        <v>126000</v>
      </c>
      <c r="BG18" s="12">
        <f>+('Input Data'!$C$35/'Input Data'!$B$35+'Input Data'!$D$35)*'Input Data'!$Q21</f>
        <v>91200</v>
      </c>
      <c r="BI18" s="12" t="str">
        <f>+'Input Data'!I21</f>
        <v>Dry_Etch</v>
      </c>
      <c r="BJ18" s="31">
        <f t="shared" si="19"/>
        <v>2616.4423768807774</v>
      </c>
      <c r="BK18" s="31">
        <f t="shared" si="20"/>
        <v>2683.4664525262606</v>
      </c>
      <c r="BL18" s="31">
        <f t="shared" si="21"/>
        <v>2650.9651989229546</v>
      </c>
      <c r="BM18" s="31">
        <f t="shared" si="22"/>
        <v>2523.007632766573</v>
      </c>
      <c r="BN18" s="75">
        <f t="shared" si="23"/>
        <v>296440.8234094294</v>
      </c>
      <c r="BO18" s="23">
        <f t="shared" si="24"/>
        <v>214566.6912296822</v>
      </c>
      <c r="BQ18" s="12" t="str">
        <f>+'Input Data'!I21</f>
        <v>Dry_Etch</v>
      </c>
      <c r="BR18" s="31">
        <f t="shared" si="25"/>
        <v>3336.2989856999384</v>
      </c>
      <c r="BS18" s="31">
        <f t="shared" si="26"/>
        <v>3421.763262524595</v>
      </c>
      <c r="BT18" s="31">
        <f t="shared" si="27"/>
        <v>3380.3200033919575</v>
      </c>
      <c r="BU18" s="31">
        <f t="shared" si="28"/>
        <v>3217.1577255018137</v>
      </c>
      <c r="BV18" s="75">
        <f t="shared" si="29"/>
        <v>378000</v>
      </c>
      <c r="BW18" s="23">
        <f t="shared" si="30"/>
        <v>273600</v>
      </c>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row>
    <row r="19" spans="5:138" ht="12.75">
      <c r="E19" s="12" t="str">
        <f>+'Input Data'!I22</f>
        <v>Dry_Etch(A)</v>
      </c>
      <c r="F19" s="221">
        <v>2.5972647761707077</v>
      </c>
      <c r="G19" s="34">
        <f t="shared" si="2"/>
        <v>3</v>
      </c>
      <c r="H19" s="1">
        <f>+('Input Data'!K22+'Input Data'!L22+'Input Data'!M22)*F19/'Input Data'!O22</f>
        <v>1.753153723915228</v>
      </c>
      <c r="I19" s="20">
        <f>+'Input Data'!N22*F19</f>
        <v>0.4545213358298738</v>
      </c>
      <c r="J19" s="31">
        <f>+('Input Data'!K22+'Input Data'!L22+'Input Data'!M22)*G19/'Input Data'!O22</f>
        <v>2.025</v>
      </c>
      <c r="K19" s="13">
        <f>+'Input Data'!N22*G19</f>
        <v>0.5249999999999999</v>
      </c>
      <c r="N19" s="12" t="str">
        <f>+'Input Data'!I22</f>
        <v>Dry_Etch(A)</v>
      </c>
      <c r="O19" s="157">
        <v>0.03958594515269375</v>
      </c>
      <c r="P19" s="395">
        <v>0.1809683814840814</v>
      </c>
      <c r="Q19" s="157">
        <v>0.04453402747767214</v>
      </c>
      <c r="R19" s="395">
        <v>0.17773609806801596</v>
      </c>
      <c r="S19" s="157">
        <v>0.04453402747767214</v>
      </c>
      <c r="T19" s="395">
        <v>0.17450465486079272</v>
      </c>
      <c r="U19" s="157">
        <v>0.04948339635551715</v>
      </c>
      <c r="V19" s="396">
        <v>0.15188371220138783</v>
      </c>
      <c r="W19" s="74"/>
      <c r="X19" s="12" t="str">
        <f>+'Input Data'!I22</f>
        <v>Dry_Etch(A)</v>
      </c>
      <c r="Y19" s="37">
        <f t="shared" si="3"/>
        <v>0.10281518097651705</v>
      </c>
      <c r="Z19" s="7">
        <f t="shared" si="4"/>
        <v>0.4700228028292279</v>
      </c>
      <c r="AA19" s="37">
        <f t="shared" si="5"/>
        <v>0.11566666090877628</v>
      </c>
      <c r="AB19" s="38">
        <f t="shared" si="6"/>
        <v>0.46162770696608046</v>
      </c>
      <c r="AC19" s="7">
        <f t="shared" si="7"/>
        <v>0.11566666090877628</v>
      </c>
      <c r="AD19" s="7">
        <f t="shared" si="8"/>
        <v>0.4532347933477634</v>
      </c>
      <c r="AE19" s="37">
        <f t="shared" si="9"/>
        <v>0.12852148235947866</v>
      </c>
      <c r="AF19" s="13">
        <f t="shared" si="10"/>
        <v>0.39448221577471376</v>
      </c>
      <c r="AH19" s="12" t="str">
        <f>+'Input Data'!I22</f>
        <v>Dry_Etch(A)</v>
      </c>
      <c r="AI19" s="12">
        <f t="shared" si="11"/>
        <v>0.11875783545808125</v>
      </c>
      <c r="AJ19" s="7">
        <f t="shared" si="12"/>
        <v>0.5429051444522441</v>
      </c>
      <c r="AK19" s="37">
        <f t="shared" si="13"/>
        <v>0.1336020824330164</v>
      </c>
      <c r="AL19" s="38">
        <f t="shared" si="14"/>
        <v>0.5332082942040479</v>
      </c>
      <c r="AM19" s="7">
        <f t="shared" si="15"/>
        <v>0.1336020824330164</v>
      </c>
      <c r="AN19" s="7">
        <f t="shared" si="16"/>
        <v>0.5235139645823782</v>
      </c>
      <c r="AO19" s="37">
        <f t="shared" si="17"/>
        <v>0.14845018906655144</v>
      </c>
      <c r="AP19" s="13">
        <f t="shared" si="18"/>
        <v>0.45565113660416345</v>
      </c>
      <c r="AT19" s="12" t="str">
        <f>+'Input Data'!I22</f>
        <v>Dry_Etch(A)</v>
      </c>
      <c r="AU19" s="101">
        <f>+(O19+P19/2)*'Input Data'!$E$37</f>
        <v>19.510520384210167</v>
      </c>
      <c r="AV19" s="1">
        <f>+(Q19+R19/2)*'Input Data'!$E$37</f>
        <v>20.01031147675202</v>
      </c>
      <c r="AW19" s="97">
        <f>+(S19+T19/2)*'Input Data'!$E$37</f>
        <v>19.767953236210275</v>
      </c>
      <c r="AX19" s="23">
        <f>+(U19+V19/2)*'Input Data'!$E$37</f>
        <v>18.813787868431657</v>
      </c>
      <c r="BA19" s="12" t="str">
        <f>+'Input Data'!I22</f>
        <v>Dry_Etch(A)</v>
      </c>
      <c r="BB19" s="31">
        <f>+('Input Data'!$C$37/'Input Data'!$B$37+'Input Data'!$D$37)*AU19</f>
        <v>1112.0996618999795</v>
      </c>
      <c r="BC19" s="31">
        <f>+('Input Data'!$C$37/'Input Data'!$B$37+'Input Data'!$D$37)*AV19</f>
        <v>1140.587754174865</v>
      </c>
      <c r="BD19" s="31">
        <f>+('Input Data'!$C$37/'Input Data'!$B$37+'Input Data'!$D$37)*AW19</f>
        <v>1126.7733344639857</v>
      </c>
      <c r="BE19" s="31">
        <f>+('Input Data'!$C$37/'Input Data'!$B$37+'Input Data'!$D$37)*AX19</f>
        <v>1072.3859085006045</v>
      </c>
      <c r="BF19" s="12">
        <f>+('Input Data'!$C$34/'Input Data'!$B$34+'Input Data'!$D$34)*'Input Data'!P22</f>
        <v>126000</v>
      </c>
      <c r="BG19" s="12">
        <f>+('Input Data'!$C$35/'Input Data'!$B$35+'Input Data'!$D$35)*'Input Data'!$Q22</f>
        <v>91200</v>
      </c>
      <c r="BI19" s="12" t="str">
        <f>+'Input Data'!I22</f>
        <v>Dry_Etch(A)</v>
      </c>
      <c r="BJ19" s="31">
        <f t="shared" si="19"/>
        <v>2888.41727944417</v>
      </c>
      <c r="BK19" s="31">
        <f t="shared" si="20"/>
        <v>2962.408398050031</v>
      </c>
      <c r="BL19" s="31">
        <f t="shared" si="21"/>
        <v>2926.528692331726</v>
      </c>
      <c r="BM19" s="31">
        <f t="shared" si="22"/>
        <v>2785.2701466104436</v>
      </c>
      <c r="BN19" s="75">
        <f t="shared" si="23"/>
        <v>327255.3617975092</v>
      </c>
      <c r="BO19" s="23">
        <f t="shared" si="24"/>
        <v>236870.54758676855</v>
      </c>
      <c r="BQ19" s="12" t="str">
        <f>+'Input Data'!I22</f>
        <v>Dry_Etch(A)</v>
      </c>
      <c r="BR19" s="31">
        <f t="shared" si="25"/>
        <v>3336.2989856999384</v>
      </c>
      <c r="BS19" s="31">
        <f t="shared" si="26"/>
        <v>3421.763262524595</v>
      </c>
      <c r="BT19" s="31">
        <f t="shared" si="27"/>
        <v>3380.3200033919575</v>
      </c>
      <c r="BU19" s="31">
        <f t="shared" si="28"/>
        <v>3217.1577255018137</v>
      </c>
      <c r="BV19" s="75">
        <f t="shared" si="29"/>
        <v>378000</v>
      </c>
      <c r="BW19" s="23">
        <f t="shared" si="30"/>
        <v>273600</v>
      </c>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row>
    <row r="20" spans="5:138" ht="12.75">
      <c r="E20" s="12" t="str">
        <f>+'Input Data'!I23</f>
        <v>Dry_Etch(C) </v>
      </c>
      <c r="F20" s="221">
        <v>13.449030177451496</v>
      </c>
      <c r="G20" s="34">
        <f t="shared" si="2"/>
        <v>14</v>
      </c>
      <c r="H20" s="1">
        <f>+('Input Data'!K23+'Input Data'!L23+'Input Data'!M23)*F20/'Input Data'!O23</f>
        <v>9.07809536977976</v>
      </c>
      <c r="I20" s="20">
        <f>+'Input Data'!N23*F20</f>
        <v>2.3535802810540116</v>
      </c>
      <c r="J20" s="31">
        <f>+('Input Data'!K23+'Input Data'!L23+'Input Data'!M23)*G20/'Input Data'!O23</f>
        <v>9.45</v>
      </c>
      <c r="K20" s="13">
        <f>+'Input Data'!N23*G20</f>
        <v>2.4499999999999997</v>
      </c>
      <c r="N20" s="12" t="str">
        <f>+'Input Data'!I23</f>
        <v>Dry_Etch(C) </v>
      </c>
      <c r="O20" s="157">
        <v>0.03958594515269375</v>
      </c>
      <c r="P20" s="395">
        <v>0.1809683814840814</v>
      </c>
      <c r="Q20" s="157">
        <v>0.04453402747767214</v>
      </c>
      <c r="R20" s="395">
        <v>0.17773609806801596</v>
      </c>
      <c r="S20" s="157">
        <v>0.04453402747767214</v>
      </c>
      <c r="T20" s="395">
        <v>0.17450465486079272</v>
      </c>
      <c r="U20" s="157">
        <v>0.04948339635551715</v>
      </c>
      <c r="V20" s="396">
        <v>0.15188371220138783</v>
      </c>
      <c r="W20" s="74"/>
      <c r="X20" s="12" t="str">
        <f>+'Input Data'!I23</f>
        <v>Dry_Etch(C) </v>
      </c>
      <c r="Y20" s="37">
        <f t="shared" si="3"/>
        <v>0.532392570961518</v>
      </c>
      <c r="Z20" s="7">
        <f t="shared" si="4"/>
        <v>2.433849223743965</v>
      </c>
      <c r="AA20" s="37">
        <f t="shared" si="5"/>
        <v>0.5989394794706667</v>
      </c>
      <c r="AB20" s="38">
        <f t="shared" si="6"/>
        <v>2.3903781465392253</v>
      </c>
      <c r="AC20" s="7">
        <f t="shared" si="7"/>
        <v>0.5989394794706667</v>
      </c>
      <c r="AD20" s="7">
        <f t="shared" si="8"/>
        <v>2.3469183693285594</v>
      </c>
      <c r="AE20" s="37">
        <f t="shared" si="9"/>
        <v>0.6655036908681435</v>
      </c>
      <c r="AF20" s="13">
        <f t="shared" si="10"/>
        <v>2.042688628859823</v>
      </c>
      <c r="AH20" s="12" t="str">
        <f>+'Input Data'!I23</f>
        <v>Dry_Etch(C) </v>
      </c>
      <c r="AI20" s="12">
        <f t="shared" si="11"/>
        <v>0.5542032321377125</v>
      </c>
      <c r="AJ20" s="7">
        <f t="shared" si="12"/>
        <v>2.5335573407771395</v>
      </c>
      <c r="AK20" s="37">
        <f t="shared" si="13"/>
        <v>0.62347638468741</v>
      </c>
      <c r="AL20" s="38">
        <f t="shared" si="14"/>
        <v>2.4883053729522233</v>
      </c>
      <c r="AM20" s="7">
        <f t="shared" si="15"/>
        <v>0.62347638468741</v>
      </c>
      <c r="AN20" s="7">
        <f t="shared" si="16"/>
        <v>2.443065168051098</v>
      </c>
      <c r="AO20" s="37">
        <f t="shared" si="17"/>
        <v>0.6927675489772401</v>
      </c>
      <c r="AP20" s="13">
        <f t="shared" si="18"/>
        <v>2.1263719708194295</v>
      </c>
      <c r="AT20" s="12" t="str">
        <f>+'Input Data'!I23</f>
        <v>Dry_Etch(C) </v>
      </c>
      <c r="AU20" s="101">
        <f>+(O20+P20/2)*'Input Data'!$E$37</f>
        <v>19.510520384210167</v>
      </c>
      <c r="AV20" s="1">
        <f>+(Q20+R20/2)*'Input Data'!$E$37</f>
        <v>20.01031147675202</v>
      </c>
      <c r="AW20" s="97">
        <f>+(S20+T20/2)*'Input Data'!$E$37</f>
        <v>19.767953236210275</v>
      </c>
      <c r="AX20" s="23">
        <f>+(U20+V20/2)*'Input Data'!$E$37</f>
        <v>18.813787868431657</v>
      </c>
      <c r="BA20" s="12" t="str">
        <f>+'Input Data'!I23</f>
        <v>Dry_Etch(C) </v>
      </c>
      <c r="BB20" s="31">
        <f>+('Input Data'!$C$37/'Input Data'!$B$37+'Input Data'!$D$37)*AU20</f>
        <v>1112.0996618999795</v>
      </c>
      <c r="BC20" s="31">
        <f>+('Input Data'!$C$37/'Input Data'!$B$37+'Input Data'!$D$37)*AV20</f>
        <v>1140.587754174865</v>
      </c>
      <c r="BD20" s="31">
        <f>+('Input Data'!$C$37/'Input Data'!$B$37+'Input Data'!$D$37)*AW20</f>
        <v>1126.7733344639857</v>
      </c>
      <c r="BE20" s="31">
        <f>+('Input Data'!$C$37/'Input Data'!$B$37+'Input Data'!$D$37)*AX20</f>
        <v>1072.3859085006045</v>
      </c>
      <c r="BF20" s="12">
        <f>+('Input Data'!$C$34/'Input Data'!$B$34+'Input Data'!$D$34)*'Input Data'!P23</f>
        <v>126000</v>
      </c>
      <c r="BG20" s="12">
        <f>+('Input Data'!$C$35/'Input Data'!$B$35+'Input Data'!$D$35)*'Input Data'!$Q23</f>
        <v>91200</v>
      </c>
      <c r="BI20" s="12" t="str">
        <f>+'Input Data'!I23</f>
        <v>Dry_Etch(C) </v>
      </c>
      <c r="BJ20" s="31">
        <f t="shared" si="19"/>
        <v>14956.66191322643</v>
      </c>
      <c r="BK20" s="31">
        <f t="shared" si="20"/>
        <v>15339.799125929389</v>
      </c>
      <c r="BL20" s="31">
        <f t="shared" si="21"/>
        <v>15154.008578353792</v>
      </c>
      <c r="BM20" s="31">
        <f t="shared" si="22"/>
        <v>14422.550445298368</v>
      </c>
      <c r="BN20" s="75">
        <f t="shared" si="23"/>
        <v>1694577.8023588886</v>
      </c>
      <c r="BO20" s="23">
        <f t="shared" si="24"/>
        <v>1226551.5521835764</v>
      </c>
      <c r="BQ20" s="12" t="str">
        <f>+'Input Data'!I23</f>
        <v>Dry_Etch(C) </v>
      </c>
      <c r="BR20" s="31">
        <f t="shared" si="25"/>
        <v>15569.395266599713</v>
      </c>
      <c r="BS20" s="31">
        <f t="shared" si="26"/>
        <v>15968.22855844811</v>
      </c>
      <c r="BT20" s="31">
        <f t="shared" si="27"/>
        <v>15774.826682495801</v>
      </c>
      <c r="BU20" s="31">
        <f t="shared" si="28"/>
        <v>15013.402719008463</v>
      </c>
      <c r="BV20" s="75">
        <f t="shared" si="29"/>
        <v>1764000</v>
      </c>
      <c r="BW20" s="23">
        <f t="shared" si="30"/>
        <v>1276800</v>
      </c>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row>
    <row r="21" spans="5:138" ht="12.75">
      <c r="E21" s="12" t="str">
        <f>+'Input Data'!I24</f>
        <v>Dry_Etch(I)</v>
      </c>
      <c r="F21" s="221">
        <v>6.949602933285911</v>
      </c>
      <c r="G21" s="34">
        <f t="shared" si="2"/>
        <v>7</v>
      </c>
      <c r="H21" s="1">
        <f>+('Input Data'!K24+'Input Data'!L24+'Input Data'!M24)*F21/'Input Data'!O24</f>
        <v>4.69098197996799</v>
      </c>
      <c r="I21" s="20">
        <f>+'Input Data'!N24*F21</f>
        <v>1.2161805133250343</v>
      </c>
      <c r="J21" s="31">
        <f>+('Input Data'!K24+'Input Data'!L24+'Input Data'!M24)*G21/'Input Data'!O24</f>
        <v>4.725</v>
      </c>
      <c r="K21" s="13">
        <f>+'Input Data'!N24*G21</f>
        <v>1.2249999999999999</v>
      </c>
      <c r="N21" s="12" t="str">
        <f>+'Input Data'!I24</f>
        <v>Dry_Etch(I)</v>
      </c>
      <c r="O21" s="157">
        <v>0.03958594515269375</v>
      </c>
      <c r="P21" s="395">
        <v>0.1809683814840814</v>
      </c>
      <c r="Q21" s="157">
        <v>0.04453402747767214</v>
      </c>
      <c r="R21" s="395">
        <v>0.17773609806801596</v>
      </c>
      <c r="S21" s="157">
        <v>0.04453402747767214</v>
      </c>
      <c r="T21" s="395">
        <v>0.17450465486079272</v>
      </c>
      <c r="U21" s="157">
        <v>0.04948339635551715</v>
      </c>
      <c r="V21" s="396">
        <v>0.15188371220138783</v>
      </c>
      <c r="W21" s="74"/>
      <c r="X21" s="12" t="str">
        <f>+'Input Data'!I24</f>
        <v>Dry_Etch(I)</v>
      </c>
      <c r="Y21" s="37">
        <f t="shared" si="3"/>
        <v>0.2751066005500557</v>
      </c>
      <c r="Z21" s="7">
        <f t="shared" si="4"/>
        <v>1.2576583947937758</v>
      </c>
      <c r="AA21" s="37">
        <f t="shared" si="5"/>
        <v>0.3094938079898657</v>
      </c>
      <c r="AB21" s="38">
        <f t="shared" si="6"/>
        <v>1.2351953084842762</v>
      </c>
      <c r="AC21" s="7">
        <f t="shared" si="7"/>
        <v>0.3094938079898657</v>
      </c>
      <c r="AD21" s="7">
        <f t="shared" si="8"/>
        <v>1.2127380612926106</v>
      </c>
      <c r="AE21" s="37">
        <f t="shared" si="9"/>
        <v>0.34388995646125137</v>
      </c>
      <c r="AF21" s="13">
        <f t="shared" si="10"/>
        <v>1.055531491833118</v>
      </c>
      <c r="AH21" s="12" t="str">
        <f>+'Input Data'!I24</f>
        <v>Dry_Etch(I)</v>
      </c>
      <c r="AI21" s="12">
        <f t="shared" si="11"/>
        <v>0.27710161606885625</v>
      </c>
      <c r="AJ21" s="7">
        <f t="shared" si="12"/>
        <v>1.2667786703885697</v>
      </c>
      <c r="AK21" s="37">
        <f t="shared" si="13"/>
        <v>0.311738192343705</v>
      </c>
      <c r="AL21" s="38">
        <f t="shared" si="14"/>
        <v>1.2441526864761117</v>
      </c>
      <c r="AM21" s="7">
        <f t="shared" si="15"/>
        <v>0.311738192343705</v>
      </c>
      <c r="AN21" s="7">
        <f t="shared" si="16"/>
        <v>1.221532584025549</v>
      </c>
      <c r="AO21" s="37">
        <f t="shared" si="17"/>
        <v>0.34638377448862007</v>
      </c>
      <c r="AP21" s="13">
        <f t="shared" si="18"/>
        <v>1.0631859854097148</v>
      </c>
      <c r="AT21" s="12" t="str">
        <f>+'Input Data'!I24</f>
        <v>Dry_Etch(I)</v>
      </c>
      <c r="AU21" s="101">
        <f>+(O21+P21/2)*'Input Data'!$E$37</f>
        <v>19.510520384210167</v>
      </c>
      <c r="AV21" s="1">
        <f>+(Q21+R21/2)*'Input Data'!$E$37</f>
        <v>20.01031147675202</v>
      </c>
      <c r="AW21" s="97">
        <f>+(S21+T21/2)*'Input Data'!$E$37</f>
        <v>19.767953236210275</v>
      </c>
      <c r="AX21" s="23">
        <f>+(U21+V21/2)*'Input Data'!$E$37</f>
        <v>18.813787868431657</v>
      </c>
      <c r="BA21" s="12" t="str">
        <f>+'Input Data'!I24</f>
        <v>Dry_Etch(I)</v>
      </c>
      <c r="BB21" s="31">
        <f>+('Input Data'!$C$37/'Input Data'!$B$37+'Input Data'!$D$37)*AU21</f>
        <v>1112.0996618999795</v>
      </c>
      <c r="BC21" s="31">
        <f>+('Input Data'!$C$37/'Input Data'!$B$37+'Input Data'!$D$37)*AV21</f>
        <v>1140.587754174865</v>
      </c>
      <c r="BD21" s="31">
        <f>+('Input Data'!$C$37/'Input Data'!$B$37+'Input Data'!$D$37)*AW21</f>
        <v>1126.7733344639857</v>
      </c>
      <c r="BE21" s="31">
        <f>+('Input Data'!$C$37/'Input Data'!$B$37+'Input Data'!$D$37)*AX21</f>
        <v>1072.3859085006045</v>
      </c>
      <c r="BF21" s="12">
        <f>+('Input Data'!$C$34/'Input Data'!$B$34+'Input Data'!$D$34)*'Input Data'!P24</f>
        <v>126000</v>
      </c>
      <c r="BG21" s="12">
        <f>+('Input Data'!$C$35/'Input Data'!$B$35+'Input Data'!$D$35)*'Input Data'!$Q24</f>
        <v>91200</v>
      </c>
      <c r="BI21" s="12" t="str">
        <f>+'Input Data'!I24</f>
        <v>Dry_Etch(I)</v>
      </c>
      <c r="BJ21" s="31">
        <f t="shared" si="19"/>
        <v>7728.651072446368</v>
      </c>
      <c r="BK21" s="31">
        <f t="shared" si="20"/>
        <v>7926.632002083632</v>
      </c>
      <c r="BL21" s="31">
        <f t="shared" si="21"/>
        <v>7830.627270339262</v>
      </c>
      <c r="BM21" s="31">
        <f t="shared" si="22"/>
        <v>7452.656255330278</v>
      </c>
      <c r="BN21" s="75">
        <f t="shared" si="23"/>
        <v>875649.9695940248</v>
      </c>
      <c r="BO21" s="23">
        <f t="shared" si="24"/>
        <v>633803.7875156751</v>
      </c>
      <c r="BQ21" s="12" t="str">
        <f>+'Input Data'!I24</f>
        <v>Dry_Etch(I)</v>
      </c>
      <c r="BR21" s="31">
        <f t="shared" si="25"/>
        <v>7784.6976332998565</v>
      </c>
      <c r="BS21" s="31">
        <f t="shared" si="26"/>
        <v>7984.114279224055</v>
      </c>
      <c r="BT21" s="31">
        <f t="shared" si="27"/>
        <v>7887.4133412479005</v>
      </c>
      <c r="BU21" s="31">
        <f t="shared" si="28"/>
        <v>7506.701359504232</v>
      </c>
      <c r="BV21" s="75">
        <f t="shared" si="29"/>
        <v>882000</v>
      </c>
      <c r="BW21" s="23">
        <f t="shared" si="30"/>
        <v>638400</v>
      </c>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row>
    <row r="22" spans="5:138" ht="12.75">
      <c r="E22" s="12" t="str">
        <f>+'Input Data'!I25</f>
        <v>Dry_Etch_Met</v>
      </c>
      <c r="F22" s="221">
        <v>9.666228303847756</v>
      </c>
      <c r="G22" s="34">
        <f t="shared" si="2"/>
        <v>10</v>
      </c>
      <c r="H22" s="1">
        <f>+('Input Data'!K25+'Input Data'!L25+'Input Data'!M25)*F22/'Input Data'!O25</f>
        <v>6.524704105097236</v>
      </c>
      <c r="I22" s="20">
        <f>+'Input Data'!N25*F22</f>
        <v>1.6915899531733571</v>
      </c>
      <c r="J22" s="31">
        <f>+('Input Data'!K25+'Input Data'!L25+'Input Data'!M25)*G22/'Input Data'!O25</f>
        <v>6.75</v>
      </c>
      <c r="K22" s="13">
        <f>+'Input Data'!N25*G22</f>
        <v>1.75</v>
      </c>
      <c r="N22" s="12" t="str">
        <f>+'Input Data'!I25</f>
        <v>Dry_Etch_Met</v>
      </c>
      <c r="O22" s="157">
        <v>0.03958594515269375</v>
      </c>
      <c r="P22" s="395">
        <v>0.1809683814840814</v>
      </c>
      <c r="Q22" s="157">
        <v>0.04453402747767214</v>
      </c>
      <c r="R22" s="395">
        <v>0.17773609806801596</v>
      </c>
      <c r="S22" s="157">
        <v>0.04453402747767214</v>
      </c>
      <c r="T22" s="395">
        <v>0.17450465486079272</v>
      </c>
      <c r="U22" s="157">
        <v>0.04948339635551715</v>
      </c>
      <c r="V22" s="396">
        <v>0.15188371220138783</v>
      </c>
      <c r="W22" s="74"/>
      <c r="X22" s="12" t="str">
        <f>+'Input Data'!I25</f>
        <v>Dry_Etch_Met</v>
      </c>
      <c r="Y22" s="37">
        <f t="shared" si="3"/>
        <v>0.38264678346953324</v>
      </c>
      <c r="Z22" s="7">
        <f t="shared" si="4"/>
        <v>1.7492816912029459</v>
      </c>
      <c r="AA22" s="37">
        <f t="shared" si="5"/>
        <v>0.43047607688900813</v>
      </c>
      <c r="AB22" s="38">
        <f t="shared" si="6"/>
        <v>1.7180377017605164</v>
      </c>
      <c r="AC22" s="7">
        <f t="shared" si="7"/>
        <v>0.43047607688900813</v>
      </c>
      <c r="AD22" s="7">
        <f t="shared" si="8"/>
        <v>1.6868018339685786</v>
      </c>
      <c r="AE22" s="37">
        <f t="shared" si="9"/>
        <v>0.4783178064222168</v>
      </c>
      <c r="AF22" s="13">
        <f t="shared" si="10"/>
        <v>1.4681426377745217</v>
      </c>
      <c r="AH22" s="12" t="str">
        <f>+'Input Data'!I25</f>
        <v>Dry_Etch_Met</v>
      </c>
      <c r="AI22" s="12">
        <f t="shared" si="11"/>
        <v>0.3958594515269375</v>
      </c>
      <c r="AJ22" s="7">
        <f t="shared" si="12"/>
        <v>1.809683814840814</v>
      </c>
      <c r="AK22" s="37">
        <f t="shared" si="13"/>
        <v>0.44534027477672145</v>
      </c>
      <c r="AL22" s="38">
        <f t="shared" si="14"/>
        <v>1.7773609806801596</v>
      </c>
      <c r="AM22" s="7">
        <f t="shared" si="15"/>
        <v>0.44534027477672145</v>
      </c>
      <c r="AN22" s="7">
        <f t="shared" si="16"/>
        <v>1.7450465486079272</v>
      </c>
      <c r="AO22" s="37">
        <f t="shared" si="17"/>
        <v>0.4948339635551715</v>
      </c>
      <c r="AP22" s="13">
        <f t="shared" si="18"/>
        <v>1.5188371220138783</v>
      </c>
      <c r="AT22" s="12" t="str">
        <f>+'Input Data'!I25</f>
        <v>Dry_Etch_Met</v>
      </c>
      <c r="AU22" s="101">
        <f>+(O22+P22/2)*'Input Data'!$E$37</f>
        <v>19.510520384210167</v>
      </c>
      <c r="AV22" s="1">
        <f>+(Q22+R22/2)*'Input Data'!$E$37</f>
        <v>20.01031147675202</v>
      </c>
      <c r="AW22" s="97">
        <f>+(S22+T22/2)*'Input Data'!$E$37</f>
        <v>19.767953236210275</v>
      </c>
      <c r="AX22" s="23">
        <f>+(U22+V22/2)*'Input Data'!$E$37</f>
        <v>18.813787868431657</v>
      </c>
      <c r="BA22" s="12" t="str">
        <f>+'Input Data'!I25</f>
        <v>Dry_Etch_Met</v>
      </c>
      <c r="BB22" s="31">
        <f>+('Input Data'!$C$37/'Input Data'!$B$37+'Input Data'!$D$37)*AU22</f>
        <v>1112.0996618999795</v>
      </c>
      <c r="BC22" s="31">
        <f>+('Input Data'!$C$37/'Input Data'!$B$37+'Input Data'!$D$37)*AV22</f>
        <v>1140.587754174865</v>
      </c>
      <c r="BD22" s="31">
        <f>+('Input Data'!$C$37/'Input Data'!$B$37+'Input Data'!$D$37)*AW22</f>
        <v>1126.7733344639857</v>
      </c>
      <c r="BE22" s="31">
        <f>+('Input Data'!$C$37/'Input Data'!$B$37+'Input Data'!$D$37)*AX22</f>
        <v>1072.3859085006045</v>
      </c>
      <c r="BF22" s="12">
        <f>+('Input Data'!$C$34/'Input Data'!$B$34+'Input Data'!$D$34)*'Input Data'!P25</f>
        <v>126000</v>
      </c>
      <c r="BG22" s="12">
        <f>+('Input Data'!$C$35/'Input Data'!$B$35+'Input Data'!$D$35)*'Input Data'!$Q25</f>
        <v>91200</v>
      </c>
      <c r="BI22" s="12" t="str">
        <f>+'Input Data'!I25</f>
        <v>Dry_Etch_Met</v>
      </c>
      <c r="BJ22" s="31">
        <f t="shared" si="19"/>
        <v>10749.809228557102</v>
      </c>
      <c r="BK22" s="31">
        <f t="shared" si="20"/>
        <v>11025.181632427228</v>
      </c>
      <c r="BL22" s="31">
        <f t="shared" si="21"/>
        <v>10891.648297616694</v>
      </c>
      <c r="BM22" s="31">
        <f t="shared" si="22"/>
        <v>10365.927021396034</v>
      </c>
      <c r="BN22" s="75">
        <f t="shared" si="23"/>
        <v>1217944.7662848174</v>
      </c>
      <c r="BO22" s="23">
        <f t="shared" si="24"/>
        <v>881560.0213109154</v>
      </c>
      <c r="BQ22" s="12" t="str">
        <f>+'Input Data'!I25</f>
        <v>Dry_Etch_Met</v>
      </c>
      <c r="BR22" s="31">
        <f t="shared" si="25"/>
        <v>11120.996618999796</v>
      </c>
      <c r="BS22" s="31">
        <f t="shared" si="26"/>
        <v>11405.87754174865</v>
      </c>
      <c r="BT22" s="31">
        <f t="shared" si="27"/>
        <v>11267.733344639857</v>
      </c>
      <c r="BU22" s="31">
        <f t="shared" si="28"/>
        <v>10723.859085006045</v>
      </c>
      <c r="BV22" s="75">
        <f t="shared" si="29"/>
        <v>1260000</v>
      </c>
      <c r="BW22" s="23">
        <f t="shared" si="30"/>
        <v>912000</v>
      </c>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row>
    <row r="23" spans="5:138" ht="12.75">
      <c r="E23" s="12" t="str">
        <f>+'Input Data'!I26</f>
        <v>Dry_Strip</v>
      </c>
      <c r="F23" s="221">
        <v>1.7778324504103131</v>
      </c>
      <c r="G23" s="34">
        <f t="shared" si="2"/>
        <v>2</v>
      </c>
      <c r="H23" s="1">
        <f>+('Input Data'!K26+'Input Data'!L26+'Input Data'!M26)*F23/'Input Data'!O26</f>
        <v>0.4800147616107845</v>
      </c>
      <c r="I23" s="20">
        <f>+'Input Data'!N26*F23</f>
        <v>0.12444827152872193</v>
      </c>
      <c r="J23" s="31">
        <f>+('Input Data'!K26+'Input Data'!L26+'Input Data'!M26)*G23/'Input Data'!O26</f>
        <v>0.5399999999999999</v>
      </c>
      <c r="K23" s="13">
        <f>+'Input Data'!N26*G23</f>
        <v>0.14</v>
      </c>
      <c r="N23" s="12" t="str">
        <f>+'Input Data'!I26</f>
        <v>Dry_Strip</v>
      </c>
      <c r="O23" s="157">
        <v>0.019792972576346875</v>
      </c>
      <c r="P23" s="395">
        <v>0.12064558765605429</v>
      </c>
      <c r="Q23" s="157">
        <v>0.02226701373883607</v>
      </c>
      <c r="R23" s="395">
        <v>0.118490732045344</v>
      </c>
      <c r="S23" s="157">
        <v>0.02226701373883607</v>
      </c>
      <c r="T23" s="395">
        <v>0.11633643657386183</v>
      </c>
      <c r="U23" s="157">
        <v>0.024741698177758575</v>
      </c>
      <c r="V23" s="396">
        <v>0.10125580813425857</v>
      </c>
      <c r="W23" s="74"/>
      <c r="X23" s="12" t="str">
        <f>+'Input Data'!I26</f>
        <v>Dry_Strip</v>
      </c>
      <c r="Y23" s="37">
        <f t="shared" si="3"/>
        <v>0.0351885889363109</v>
      </c>
      <c r="Z23" s="7">
        <f t="shared" si="4"/>
        <v>0.21448764073375523</v>
      </c>
      <c r="AA23" s="37">
        <f t="shared" si="5"/>
        <v>0.03958701959863504</v>
      </c>
      <c r="AB23" s="38">
        <f t="shared" si="6"/>
        <v>0.21065666850308573</v>
      </c>
      <c r="AC23" s="7">
        <f t="shared" si="7"/>
        <v>0.03958701959863504</v>
      </c>
      <c r="AD23" s="7">
        <f t="shared" si="8"/>
        <v>0.20682669210611276</v>
      </c>
      <c r="AE23" s="37">
        <f t="shared" si="9"/>
        <v>0.04398659389867691</v>
      </c>
      <c r="AF23" s="13">
        <f t="shared" si="10"/>
        <v>0.18001586149360543</v>
      </c>
      <c r="AH23" s="12" t="str">
        <f>+'Input Data'!I26</f>
        <v>Dry_Strip</v>
      </c>
      <c r="AI23" s="12">
        <f t="shared" si="11"/>
        <v>0.03958594515269375</v>
      </c>
      <c r="AJ23" s="7">
        <f t="shared" si="12"/>
        <v>0.24129117531210859</v>
      </c>
      <c r="AK23" s="37">
        <f t="shared" si="13"/>
        <v>0.04453402747767214</v>
      </c>
      <c r="AL23" s="38">
        <f t="shared" si="14"/>
        <v>0.236981464090688</v>
      </c>
      <c r="AM23" s="7">
        <f t="shared" si="15"/>
        <v>0.04453402747767214</v>
      </c>
      <c r="AN23" s="7">
        <f t="shared" si="16"/>
        <v>0.23267287314772367</v>
      </c>
      <c r="AO23" s="37">
        <f t="shared" si="17"/>
        <v>0.04948339635551715</v>
      </c>
      <c r="AP23" s="13">
        <f t="shared" si="18"/>
        <v>0.20251161626851713</v>
      </c>
      <c r="AT23" s="12" t="str">
        <f>+'Input Data'!I26</f>
        <v>Dry_Strip</v>
      </c>
      <c r="AU23" s="101">
        <f>+(O23+P23/2)*'Input Data'!$E$37</f>
        <v>12.017364960656105</v>
      </c>
      <c r="AV23" s="1">
        <f>+(Q23+R23/2)*'Input Data'!$E$37</f>
        <v>12.226856964226211</v>
      </c>
      <c r="AW23" s="97">
        <f>+(S23+T23/2)*'Input Data'!$E$37</f>
        <v>12.06528480386505</v>
      </c>
      <c r="AX23" s="23">
        <f>+(U23+V23/2)*'Input Data'!$E$37</f>
        <v>11.305440336733177</v>
      </c>
      <c r="BA23" s="12" t="str">
        <f>+'Input Data'!I26</f>
        <v>Dry_Strip</v>
      </c>
      <c r="BB23" s="31">
        <f>+('Input Data'!$C$37/'Input Data'!$B$37+'Input Data'!$D$37)*AU23</f>
        <v>684.9898027573979</v>
      </c>
      <c r="BC23" s="31">
        <f>+('Input Data'!$C$37/'Input Data'!$B$37+'Input Data'!$D$37)*AV23</f>
        <v>696.9308469608941</v>
      </c>
      <c r="BD23" s="31">
        <f>+('Input Data'!$C$37/'Input Data'!$B$37+'Input Data'!$D$37)*AW23</f>
        <v>687.7212338203078</v>
      </c>
      <c r="BE23" s="31">
        <f>+('Input Data'!$C$37/'Input Data'!$B$37+'Input Data'!$D$37)*AX23</f>
        <v>644.4100991937911</v>
      </c>
      <c r="BF23" s="12">
        <f>+('Input Data'!$C$34/'Input Data'!$B$34+'Input Data'!$D$34)*'Input Data'!P26</f>
        <v>88200</v>
      </c>
      <c r="BG23" s="12">
        <f>+('Input Data'!$C$35/'Input Data'!$B$35+'Input Data'!$D$35)*'Input Data'!$Q26</f>
        <v>63840</v>
      </c>
      <c r="BI23" s="12" t="str">
        <f>+'Input Data'!I26</f>
        <v>Dry_Strip</v>
      </c>
      <c r="BJ23" s="31">
        <f t="shared" si="19"/>
        <v>1217.7970995422618</v>
      </c>
      <c r="BK23" s="31">
        <f t="shared" si="20"/>
        <v>1239.0262754190212</v>
      </c>
      <c r="BL23" s="31">
        <f t="shared" si="21"/>
        <v>1222.6531263219617</v>
      </c>
      <c r="BM23" s="31">
        <f t="shared" si="22"/>
        <v>1145.6531857188506</v>
      </c>
      <c r="BN23" s="75">
        <f t="shared" si="23"/>
        <v>156804.82212618963</v>
      </c>
      <c r="BO23" s="23">
        <f t="shared" si="24"/>
        <v>113496.82363419438</v>
      </c>
      <c r="BQ23" s="12" t="str">
        <f>+'Input Data'!I26</f>
        <v>Dry_Strip</v>
      </c>
      <c r="BR23" s="31">
        <f t="shared" si="25"/>
        <v>1369.9796055147958</v>
      </c>
      <c r="BS23" s="31">
        <f t="shared" si="26"/>
        <v>1393.8616939217882</v>
      </c>
      <c r="BT23" s="31">
        <f t="shared" si="27"/>
        <v>1375.4424676406156</v>
      </c>
      <c r="BU23" s="31">
        <f t="shared" si="28"/>
        <v>1288.8201983875822</v>
      </c>
      <c r="BV23" s="75">
        <f t="shared" si="29"/>
        <v>176400</v>
      </c>
      <c r="BW23" s="23">
        <f t="shared" si="30"/>
        <v>127680</v>
      </c>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row>
    <row r="24" spans="5:138" ht="12.75">
      <c r="E24" s="12" t="str">
        <f>+'Input Data'!I27</f>
        <v>Dry_Strip(D)</v>
      </c>
      <c r="F24" s="221">
        <v>1.9791189522650043</v>
      </c>
      <c r="G24" s="34">
        <f t="shared" si="2"/>
        <v>2</v>
      </c>
      <c r="H24" s="1">
        <f>+('Input Data'!K27+'Input Data'!L27+'Input Data'!M27)*F24/'Input Data'!O27</f>
        <v>0.5343621171115511</v>
      </c>
      <c r="I24" s="20">
        <f>+'Input Data'!N27*F24</f>
        <v>0.13853832665855031</v>
      </c>
      <c r="J24" s="31">
        <f>+('Input Data'!K27+'Input Data'!L27+'Input Data'!M27)*G24/'Input Data'!O27</f>
        <v>0.5399999999999999</v>
      </c>
      <c r="K24" s="13">
        <f>+'Input Data'!N27*G24</f>
        <v>0.14</v>
      </c>
      <c r="N24" s="12" t="str">
        <f>+'Input Data'!I27</f>
        <v>Dry_Strip(D)</v>
      </c>
      <c r="O24" s="157">
        <v>0.019792972576346875</v>
      </c>
      <c r="P24" s="395">
        <v>0.12064558765605429</v>
      </c>
      <c r="Q24" s="157">
        <v>0.02226701373883607</v>
      </c>
      <c r="R24" s="395">
        <v>0.118490732045344</v>
      </c>
      <c r="S24" s="157">
        <v>0.02226701373883607</v>
      </c>
      <c r="T24" s="395">
        <v>0.11633643657386183</v>
      </c>
      <c r="U24" s="157">
        <v>0.024741698177758575</v>
      </c>
      <c r="V24" s="396">
        <v>0.10125580813425857</v>
      </c>
      <c r="W24" s="74"/>
      <c r="X24" s="12" t="str">
        <f>+'Input Data'!I27</f>
        <v>Dry_Strip(D)</v>
      </c>
      <c r="Y24" s="37">
        <f t="shared" si="3"/>
        <v>0.03917264714750959</v>
      </c>
      <c r="Z24" s="7">
        <f t="shared" si="4"/>
        <v>0.2387719690372459</v>
      </c>
      <c r="AA24" s="37">
        <f t="shared" si="5"/>
        <v>0.0440690689008757</v>
      </c>
      <c r="AB24" s="38">
        <f t="shared" si="6"/>
        <v>0.23450725345869458</v>
      </c>
      <c r="AC24" s="7">
        <f t="shared" si="7"/>
        <v>0.0440690689008757</v>
      </c>
      <c r="AD24" s="7">
        <f t="shared" si="8"/>
        <v>0.23024364646230555</v>
      </c>
      <c r="AE24" s="37">
        <f t="shared" si="9"/>
        <v>0.048966763774822515</v>
      </c>
      <c r="AF24" s="13">
        <f t="shared" si="10"/>
        <v>0.2003972889054201</v>
      </c>
      <c r="AH24" s="12" t="str">
        <f>+'Input Data'!I27</f>
        <v>Dry_Strip(D)</v>
      </c>
      <c r="AI24" s="12">
        <f t="shared" si="11"/>
        <v>0.03958594515269375</v>
      </c>
      <c r="AJ24" s="7">
        <f t="shared" si="12"/>
        <v>0.24129117531210859</v>
      </c>
      <c r="AK24" s="37">
        <f t="shared" si="13"/>
        <v>0.04453402747767214</v>
      </c>
      <c r="AL24" s="38">
        <f t="shared" si="14"/>
        <v>0.236981464090688</v>
      </c>
      <c r="AM24" s="7">
        <f t="shared" si="15"/>
        <v>0.04453402747767214</v>
      </c>
      <c r="AN24" s="7">
        <f t="shared" si="16"/>
        <v>0.23267287314772367</v>
      </c>
      <c r="AO24" s="37">
        <f t="shared" si="17"/>
        <v>0.04948339635551715</v>
      </c>
      <c r="AP24" s="13">
        <f t="shared" si="18"/>
        <v>0.20251161626851713</v>
      </c>
      <c r="AT24" s="12" t="str">
        <f>+'Input Data'!I27</f>
        <v>Dry_Strip(D)</v>
      </c>
      <c r="AU24" s="101">
        <f>+(O24+P24/2)*'Input Data'!$E$37</f>
        <v>12.017364960656105</v>
      </c>
      <c r="AV24" s="1">
        <f>+(Q24+R24/2)*'Input Data'!$E$37</f>
        <v>12.226856964226211</v>
      </c>
      <c r="AW24" s="97">
        <f>+(S24+T24/2)*'Input Data'!$E$37</f>
        <v>12.06528480386505</v>
      </c>
      <c r="AX24" s="23">
        <f>+(U24+V24/2)*'Input Data'!$E$37</f>
        <v>11.305440336733177</v>
      </c>
      <c r="BA24" s="12" t="str">
        <f>+'Input Data'!I27</f>
        <v>Dry_Strip(D)</v>
      </c>
      <c r="BB24" s="31">
        <f>+('Input Data'!$C$37/'Input Data'!$B$37+'Input Data'!$D$37)*AU24</f>
        <v>684.9898027573979</v>
      </c>
      <c r="BC24" s="31">
        <f>+('Input Data'!$C$37/'Input Data'!$B$37+'Input Data'!$D$37)*AV24</f>
        <v>696.9308469608941</v>
      </c>
      <c r="BD24" s="31">
        <f>+('Input Data'!$C$37/'Input Data'!$B$37+'Input Data'!$D$37)*AW24</f>
        <v>687.7212338203078</v>
      </c>
      <c r="BE24" s="31">
        <f>+('Input Data'!$C$37/'Input Data'!$B$37+'Input Data'!$D$37)*AX24</f>
        <v>644.4100991937911</v>
      </c>
      <c r="BF24" s="12">
        <f>+('Input Data'!$C$34/'Input Data'!$B$34+'Input Data'!$D$34)*'Input Data'!P27</f>
        <v>88200</v>
      </c>
      <c r="BG24" s="12">
        <f>+('Input Data'!$C$35/'Input Data'!$B$35+'Input Data'!$D$35)*'Input Data'!$Q27</f>
        <v>63840</v>
      </c>
      <c r="BI24" s="12" t="str">
        <f>+'Input Data'!I27</f>
        <v>Dry_Strip(D)</v>
      </c>
      <c r="BJ24" s="31">
        <f t="shared" si="19"/>
        <v>1355.6763007454333</v>
      </c>
      <c r="BK24" s="31">
        <f t="shared" si="20"/>
        <v>1379.3090476384068</v>
      </c>
      <c r="BL24" s="31">
        <f t="shared" si="21"/>
        <v>1361.0821277288437</v>
      </c>
      <c r="BM24" s="31">
        <f t="shared" si="22"/>
        <v>1275.3642403454035</v>
      </c>
      <c r="BN24" s="75">
        <f t="shared" si="23"/>
        <v>174558.29158977338</v>
      </c>
      <c r="BO24" s="23">
        <f t="shared" si="24"/>
        <v>126346.95391259788</v>
      </c>
      <c r="BQ24" s="12" t="str">
        <f>+'Input Data'!I27</f>
        <v>Dry_Strip(D)</v>
      </c>
      <c r="BR24" s="31">
        <f t="shared" si="25"/>
        <v>1369.9796055147958</v>
      </c>
      <c r="BS24" s="31">
        <f t="shared" si="26"/>
        <v>1393.8616939217882</v>
      </c>
      <c r="BT24" s="31">
        <f t="shared" si="27"/>
        <v>1375.4424676406156</v>
      </c>
      <c r="BU24" s="31">
        <f t="shared" si="28"/>
        <v>1288.8201983875822</v>
      </c>
      <c r="BV24" s="75">
        <f t="shared" si="29"/>
        <v>176400</v>
      </c>
      <c r="BW24" s="23">
        <f t="shared" si="30"/>
        <v>127680</v>
      </c>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row>
    <row r="25" spans="5:138" ht="12.75">
      <c r="E25" s="12" t="str">
        <f>+'Input Data'!I28</f>
        <v>Dry_Strip(I)</v>
      </c>
      <c r="F25" s="221">
        <v>5.319296789695104</v>
      </c>
      <c r="G25" s="34">
        <f t="shared" si="2"/>
        <v>6</v>
      </c>
      <c r="H25" s="1">
        <f>+('Input Data'!K28+'Input Data'!L28+'Input Data'!M28)*F25/'Input Data'!O28</f>
        <v>1.4362101332176782</v>
      </c>
      <c r="I25" s="20">
        <f>+'Input Data'!N28*F25</f>
        <v>0.37235077527865734</v>
      </c>
      <c r="J25" s="31">
        <f>+('Input Data'!K28+'Input Data'!L28+'Input Data'!M28)*G25/'Input Data'!O28</f>
        <v>1.6199999999999999</v>
      </c>
      <c r="K25" s="13">
        <f>+'Input Data'!N28*G25</f>
        <v>0.42000000000000004</v>
      </c>
      <c r="N25" s="12" t="str">
        <f>+'Input Data'!I28</f>
        <v>Dry_Strip(I)</v>
      </c>
      <c r="O25" s="157">
        <v>0.019792972576346875</v>
      </c>
      <c r="P25" s="395">
        <v>0.12064558765605429</v>
      </c>
      <c r="Q25" s="157">
        <v>0.02226701373883607</v>
      </c>
      <c r="R25" s="395">
        <v>0.118490732045344</v>
      </c>
      <c r="S25" s="157">
        <v>0.02226701373883607</v>
      </c>
      <c r="T25" s="395">
        <v>0.11633643657386183</v>
      </c>
      <c r="U25" s="157">
        <v>0.024741698177758575</v>
      </c>
      <c r="V25" s="396">
        <v>0.10125580813425857</v>
      </c>
      <c r="W25" s="74"/>
      <c r="X25" s="12" t="str">
        <f>+'Input Data'!I28</f>
        <v>Dry_Strip(I)</v>
      </c>
      <c r="Y25" s="37">
        <f t="shared" si="3"/>
        <v>0.10528469548388518</v>
      </c>
      <c r="Z25" s="7">
        <f t="shared" si="4"/>
        <v>0.6417496871097289</v>
      </c>
      <c r="AA25" s="37">
        <f t="shared" si="5"/>
        <v>0.1184448546970875</v>
      </c>
      <c r="AB25" s="38">
        <f t="shared" si="6"/>
        <v>0.6302873705774211</v>
      </c>
      <c r="AC25" s="7">
        <f t="shared" si="7"/>
        <v>0.1184448546970875</v>
      </c>
      <c r="AD25" s="7">
        <f t="shared" si="8"/>
        <v>0.6188280335919114</v>
      </c>
      <c r="AE25" s="37">
        <f t="shared" si="9"/>
        <v>0.1316084356885564</v>
      </c>
      <c r="AF25" s="13">
        <f t="shared" si="10"/>
        <v>0.538609695146545</v>
      </c>
      <c r="AH25" s="12" t="str">
        <f>+'Input Data'!I28</f>
        <v>Dry_Strip(I)</v>
      </c>
      <c r="AI25" s="12">
        <f t="shared" si="11"/>
        <v>0.11875783545808125</v>
      </c>
      <c r="AJ25" s="7">
        <f t="shared" si="12"/>
        <v>0.7238735259363258</v>
      </c>
      <c r="AK25" s="37">
        <f t="shared" si="13"/>
        <v>0.1336020824330164</v>
      </c>
      <c r="AL25" s="38">
        <f t="shared" si="14"/>
        <v>0.710944392272064</v>
      </c>
      <c r="AM25" s="7">
        <f t="shared" si="15"/>
        <v>0.1336020824330164</v>
      </c>
      <c r="AN25" s="7">
        <f t="shared" si="16"/>
        <v>0.698018619443171</v>
      </c>
      <c r="AO25" s="37">
        <f t="shared" si="17"/>
        <v>0.14845018906655144</v>
      </c>
      <c r="AP25" s="13">
        <f t="shared" si="18"/>
        <v>0.6075348488055514</v>
      </c>
      <c r="AT25" s="12" t="str">
        <f>+'Input Data'!I28</f>
        <v>Dry_Strip(I)</v>
      </c>
      <c r="AU25" s="101">
        <f>+(O25+P25/2)*'Input Data'!$E$37</f>
        <v>12.017364960656105</v>
      </c>
      <c r="AV25" s="1">
        <f>+(Q25+R25/2)*'Input Data'!$E$37</f>
        <v>12.226856964226211</v>
      </c>
      <c r="AW25" s="97">
        <f>+(S25+T25/2)*'Input Data'!$E$37</f>
        <v>12.06528480386505</v>
      </c>
      <c r="AX25" s="23">
        <f>+(U25+V25/2)*'Input Data'!$E$37</f>
        <v>11.305440336733177</v>
      </c>
      <c r="BA25" s="12" t="str">
        <f>+'Input Data'!I28</f>
        <v>Dry_Strip(I)</v>
      </c>
      <c r="BB25" s="31">
        <f>+('Input Data'!$C$37/'Input Data'!$B$37+'Input Data'!$D$37)*AU25</f>
        <v>684.9898027573979</v>
      </c>
      <c r="BC25" s="31">
        <f>+('Input Data'!$C$37/'Input Data'!$B$37+'Input Data'!$D$37)*AV25</f>
        <v>696.9308469608941</v>
      </c>
      <c r="BD25" s="31">
        <f>+('Input Data'!$C$37/'Input Data'!$B$37+'Input Data'!$D$37)*AW25</f>
        <v>687.7212338203078</v>
      </c>
      <c r="BE25" s="31">
        <f>+('Input Data'!$C$37/'Input Data'!$B$37+'Input Data'!$D$37)*AX25</f>
        <v>644.4100991937911</v>
      </c>
      <c r="BF25" s="12">
        <f>+('Input Data'!$C$34/'Input Data'!$B$34+'Input Data'!$D$34)*'Input Data'!P28</f>
        <v>88200</v>
      </c>
      <c r="BG25" s="12">
        <f>+('Input Data'!$C$35/'Input Data'!$B$35+'Input Data'!$D$35)*'Input Data'!$Q28</f>
        <v>63840</v>
      </c>
      <c r="BI25" s="12" t="str">
        <f>+'Input Data'!I28</f>
        <v>Dry_Strip(I)</v>
      </c>
      <c r="BJ25" s="31">
        <f t="shared" si="19"/>
        <v>3643.6640587813094</v>
      </c>
      <c r="BK25" s="31">
        <f t="shared" si="20"/>
        <v>3707.182016878574</v>
      </c>
      <c r="BL25" s="31">
        <f t="shared" si="21"/>
        <v>3658.1933512655196</v>
      </c>
      <c r="BM25" s="31">
        <f t="shared" si="22"/>
        <v>3427.808571888637</v>
      </c>
      <c r="BN25" s="75">
        <f t="shared" si="23"/>
        <v>469161.9768511082</v>
      </c>
      <c r="BO25" s="23">
        <f t="shared" si="24"/>
        <v>339583.90705413546</v>
      </c>
      <c r="BQ25" s="12" t="str">
        <f>+'Input Data'!I28</f>
        <v>Dry_Strip(I)</v>
      </c>
      <c r="BR25" s="31">
        <f t="shared" si="25"/>
        <v>4109.938816544387</v>
      </c>
      <c r="BS25" s="31">
        <f t="shared" si="26"/>
        <v>4181.5850817653645</v>
      </c>
      <c r="BT25" s="31">
        <f t="shared" si="27"/>
        <v>4126.327402921846</v>
      </c>
      <c r="BU25" s="31">
        <f t="shared" si="28"/>
        <v>3866.4605951627464</v>
      </c>
      <c r="BV25" s="75">
        <f t="shared" si="29"/>
        <v>529200</v>
      </c>
      <c r="BW25" s="23">
        <f t="shared" si="30"/>
        <v>383040</v>
      </c>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row>
    <row r="26" spans="5:138" ht="12.75">
      <c r="E26" s="12" t="str">
        <f>+'Input Data'!I29</f>
        <v>Furn_FastRmp</v>
      </c>
      <c r="F26" s="221">
        <v>8.31680054079318</v>
      </c>
      <c r="G26" s="34">
        <f t="shared" si="2"/>
        <v>9</v>
      </c>
      <c r="H26" s="1">
        <f>+('Input Data'!K29+'Input Data'!L29+'Input Data'!M29)*F26/'Input Data'!O29</f>
        <v>2.245536146014158</v>
      </c>
      <c r="I26" s="20">
        <f>+'Input Data'!N29*F26</f>
        <v>0.5821760378555226</v>
      </c>
      <c r="J26" s="31">
        <f>+('Input Data'!K29+'Input Data'!L29+'Input Data'!M29)*G26/'Input Data'!O29</f>
        <v>2.4299999999999997</v>
      </c>
      <c r="K26" s="13">
        <f>+'Input Data'!N29*G26</f>
        <v>0.6300000000000001</v>
      </c>
      <c r="N26" s="12" t="str">
        <f>+'Input Data'!I29</f>
        <v>Furn_FastRmp</v>
      </c>
      <c r="O26" s="157">
        <v>0.019792972576346875</v>
      </c>
      <c r="P26" s="395">
        <v>0.12064558765605429</v>
      </c>
      <c r="Q26" s="157">
        <v>0.02226701373883607</v>
      </c>
      <c r="R26" s="395">
        <v>0.118490732045344</v>
      </c>
      <c r="S26" s="157">
        <v>0.02226701373883607</v>
      </c>
      <c r="T26" s="395">
        <v>0.11633643657386183</v>
      </c>
      <c r="U26" s="157">
        <v>0.024741698177758575</v>
      </c>
      <c r="V26" s="396">
        <v>0.10125580813425857</v>
      </c>
      <c r="W26" s="74"/>
      <c r="X26" s="12" t="str">
        <f>+'Input Data'!I29</f>
        <v>Furn_FastRmp</v>
      </c>
      <c r="Y26" s="37">
        <f t="shared" si="3"/>
        <v>0.16461420502686627</v>
      </c>
      <c r="Z26" s="7">
        <f t="shared" si="4"/>
        <v>1.0033852886621832</v>
      </c>
      <c r="AA26" s="37">
        <f t="shared" si="5"/>
        <v>0.185190311905001</v>
      </c>
      <c r="AB26" s="38">
        <f t="shared" si="6"/>
        <v>0.9854637843536966</v>
      </c>
      <c r="AC26" s="7">
        <f t="shared" si="7"/>
        <v>0.185190311905001</v>
      </c>
      <c r="AD26" s="7">
        <f t="shared" si="8"/>
        <v>0.9675469386114456</v>
      </c>
      <c r="AE26" s="37">
        <f t="shared" si="9"/>
        <v>0.20577176878492415</v>
      </c>
      <c r="AF26" s="13">
        <f t="shared" si="10"/>
        <v>0.8421243598494521</v>
      </c>
      <c r="AH26" s="12" t="str">
        <f>+'Input Data'!I29</f>
        <v>Furn_FastRmp</v>
      </c>
      <c r="AI26" s="12">
        <f t="shared" si="11"/>
        <v>0.17813675318712188</v>
      </c>
      <c r="AJ26" s="7">
        <f t="shared" si="12"/>
        <v>1.0858102889044887</v>
      </c>
      <c r="AK26" s="37">
        <f t="shared" si="13"/>
        <v>0.20040312364952464</v>
      </c>
      <c r="AL26" s="38">
        <f t="shared" si="14"/>
        <v>1.0664165884080958</v>
      </c>
      <c r="AM26" s="7">
        <f t="shared" si="15"/>
        <v>0.20040312364952464</v>
      </c>
      <c r="AN26" s="7">
        <f t="shared" si="16"/>
        <v>1.0470279291647566</v>
      </c>
      <c r="AO26" s="37">
        <f t="shared" si="17"/>
        <v>0.22267528359982716</v>
      </c>
      <c r="AP26" s="13">
        <f t="shared" si="18"/>
        <v>0.9113022732083271</v>
      </c>
      <c r="AT26" s="12" t="str">
        <f>+'Input Data'!I29</f>
        <v>Furn_FastRmp</v>
      </c>
      <c r="AU26" s="101">
        <f>+(O26+P26/2)*'Input Data'!$E$37</f>
        <v>12.017364960656105</v>
      </c>
      <c r="AV26" s="1">
        <f>+(Q26+R26/2)*'Input Data'!$E$37</f>
        <v>12.226856964226211</v>
      </c>
      <c r="AW26" s="97">
        <f>+(S26+T26/2)*'Input Data'!$E$37</f>
        <v>12.06528480386505</v>
      </c>
      <c r="AX26" s="23">
        <f>+(U26+V26/2)*'Input Data'!$E$37</f>
        <v>11.305440336733177</v>
      </c>
      <c r="BA26" s="12" t="str">
        <f>+'Input Data'!I29</f>
        <v>Furn_FastRmp</v>
      </c>
      <c r="BB26" s="31">
        <f>+('Input Data'!$C$37/'Input Data'!$B$37+'Input Data'!$D$37)*AU26</f>
        <v>684.9898027573979</v>
      </c>
      <c r="BC26" s="31">
        <f>+('Input Data'!$C$37/'Input Data'!$B$37+'Input Data'!$D$37)*AV26</f>
        <v>696.9308469608941</v>
      </c>
      <c r="BD26" s="31">
        <f>+('Input Data'!$C$37/'Input Data'!$B$37+'Input Data'!$D$37)*AW26</f>
        <v>687.7212338203078</v>
      </c>
      <c r="BE26" s="31">
        <f>+('Input Data'!$C$37/'Input Data'!$B$37+'Input Data'!$D$37)*AX26</f>
        <v>644.4100991937911</v>
      </c>
      <c r="BF26" s="12">
        <f>+('Input Data'!$C$34/'Input Data'!$B$34+'Input Data'!$D$34)*'Input Data'!P29</f>
        <v>75600</v>
      </c>
      <c r="BG26" s="12">
        <f>+('Input Data'!$C$35/'Input Data'!$B$35+'Input Data'!$D$35)*'Input Data'!$Q29</f>
        <v>54720</v>
      </c>
      <c r="BI26" s="12" t="str">
        <f>+'Input Data'!I29</f>
        <v>Furn_FastRmp</v>
      </c>
      <c r="BJ26" s="31">
        <f t="shared" si="19"/>
        <v>5696.92356201054</v>
      </c>
      <c r="BK26" s="31">
        <f t="shared" si="20"/>
        <v>5796.234844899813</v>
      </c>
      <c r="BL26" s="31">
        <f t="shared" si="21"/>
        <v>5719.640329351689</v>
      </c>
      <c r="BM26" s="31">
        <f t="shared" si="22"/>
        <v>5359.430261467508</v>
      </c>
      <c r="BN26" s="75">
        <f t="shared" si="23"/>
        <v>628750.1208839644</v>
      </c>
      <c r="BO26" s="23">
        <f t="shared" si="24"/>
        <v>455095.3255922028</v>
      </c>
      <c r="BQ26" s="12" t="str">
        <f>+'Input Data'!I29</f>
        <v>Furn_FastRmp</v>
      </c>
      <c r="BR26" s="31">
        <f t="shared" si="25"/>
        <v>6164.908224816581</v>
      </c>
      <c r="BS26" s="31">
        <f t="shared" si="26"/>
        <v>6272.377622648047</v>
      </c>
      <c r="BT26" s="31">
        <f t="shared" si="27"/>
        <v>6189.491104382771</v>
      </c>
      <c r="BU26" s="31">
        <f t="shared" si="28"/>
        <v>5799.69089274412</v>
      </c>
      <c r="BV26" s="75">
        <f t="shared" si="29"/>
        <v>680400</v>
      </c>
      <c r="BW26" s="23">
        <f t="shared" si="30"/>
        <v>492480</v>
      </c>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row>
    <row r="27" spans="5:138" ht="12.75">
      <c r="E27" s="12" t="str">
        <f>+'Input Data'!I30</f>
        <v>Furn_Nitr</v>
      </c>
      <c r="F27" s="221">
        <v>2.3143191202688786</v>
      </c>
      <c r="G27" s="34">
        <f t="shared" si="2"/>
        <v>3</v>
      </c>
      <c r="H27" s="1">
        <f>+('Input Data'!K30+'Input Data'!L30+'Input Data'!M30)*F27/'Input Data'!O30</f>
        <v>0.6248661624725972</v>
      </c>
      <c r="I27" s="20">
        <f>+'Input Data'!N30*F27</f>
        <v>0.16200233841882153</v>
      </c>
      <c r="J27" s="31">
        <f>+('Input Data'!K30+'Input Data'!L30+'Input Data'!M30)*G27/'Input Data'!O30</f>
        <v>0.8099999999999999</v>
      </c>
      <c r="K27" s="13">
        <f>+'Input Data'!N30*G27</f>
        <v>0.21000000000000002</v>
      </c>
      <c r="N27" s="12" t="str">
        <f>+'Input Data'!I30</f>
        <v>Furn_Nitr</v>
      </c>
      <c r="O27" s="157">
        <v>0.019792972576346875</v>
      </c>
      <c r="P27" s="395">
        <v>0.12064558765605429</v>
      </c>
      <c r="Q27" s="157">
        <v>0.02226701373883607</v>
      </c>
      <c r="R27" s="395">
        <v>0.118490732045344</v>
      </c>
      <c r="S27" s="157">
        <v>0.02226701373883607</v>
      </c>
      <c r="T27" s="395">
        <v>0.11633643657386183</v>
      </c>
      <c r="U27" s="157">
        <v>0.024741698177758575</v>
      </c>
      <c r="V27" s="396">
        <v>0.10125580813425857</v>
      </c>
      <c r="W27" s="74"/>
      <c r="X27" s="12" t="str">
        <f>+'Input Data'!I30</f>
        <v>Furn_Nitr</v>
      </c>
      <c r="Y27" s="37">
        <f t="shared" si="3"/>
        <v>0.04580725488039714</v>
      </c>
      <c r="Z27" s="7">
        <f t="shared" si="4"/>
        <v>0.27921239028848144</v>
      </c>
      <c r="AA27" s="37">
        <f t="shared" si="5"/>
        <v>0.05153297564707813</v>
      </c>
      <c r="AB27" s="38">
        <f t="shared" si="6"/>
        <v>0.27422536674719594</v>
      </c>
      <c r="AC27" s="7">
        <f t="shared" si="7"/>
        <v>0.05153297564707813</v>
      </c>
      <c r="AD27" s="7">
        <f t="shared" si="8"/>
        <v>0.2692396395468361</v>
      </c>
      <c r="AE27" s="37">
        <f t="shared" si="9"/>
        <v>0.05726018516070834</v>
      </c>
      <c r="AF27" s="13">
        <f t="shared" si="10"/>
        <v>0.23433825280339166</v>
      </c>
      <c r="AH27" s="12" t="str">
        <f>+'Input Data'!I30</f>
        <v>Furn_Nitr</v>
      </c>
      <c r="AI27" s="12">
        <f t="shared" si="11"/>
        <v>0.05937891772904062</v>
      </c>
      <c r="AJ27" s="7">
        <f t="shared" si="12"/>
        <v>0.3619367629681629</v>
      </c>
      <c r="AK27" s="37">
        <f t="shared" si="13"/>
        <v>0.0668010412165082</v>
      </c>
      <c r="AL27" s="38">
        <f t="shared" si="14"/>
        <v>0.355472196136032</v>
      </c>
      <c r="AM27" s="7">
        <f t="shared" si="15"/>
        <v>0.0668010412165082</v>
      </c>
      <c r="AN27" s="7">
        <f t="shared" si="16"/>
        <v>0.3490093097215855</v>
      </c>
      <c r="AO27" s="37">
        <f t="shared" si="17"/>
        <v>0.07422509453327572</v>
      </c>
      <c r="AP27" s="13">
        <f t="shared" si="18"/>
        <v>0.3037674244027757</v>
      </c>
      <c r="AT27" s="12" t="str">
        <f>+'Input Data'!I30</f>
        <v>Furn_Nitr</v>
      </c>
      <c r="AU27" s="101">
        <f>+(O27+P27/2)*'Input Data'!$E$37</f>
        <v>12.017364960656105</v>
      </c>
      <c r="AV27" s="1">
        <f>+(Q27+R27/2)*'Input Data'!$E$37</f>
        <v>12.226856964226211</v>
      </c>
      <c r="AW27" s="97">
        <f>+(S27+T27/2)*'Input Data'!$E$37</f>
        <v>12.06528480386505</v>
      </c>
      <c r="AX27" s="23">
        <f>+(U27+V27/2)*'Input Data'!$E$37</f>
        <v>11.305440336733177</v>
      </c>
      <c r="BA27" s="12" t="str">
        <f>+'Input Data'!I30</f>
        <v>Furn_Nitr</v>
      </c>
      <c r="BB27" s="31">
        <f>+('Input Data'!$C$37/'Input Data'!$B$37+'Input Data'!$D$37)*AU27</f>
        <v>684.9898027573979</v>
      </c>
      <c r="BC27" s="31">
        <f>+('Input Data'!$C$37/'Input Data'!$B$37+'Input Data'!$D$37)*AV27</f>
        <v>696.9308469608941</v>
      </c>
      <c r="BD27" s="31">
        <f>+('Input Data'!$C$37/'Input Data'!$B$37+'Input Data'!$D$37)*AW27</f>
        <v>687.7212338203078</v>
      </c>
      <c r="BE27" s="31">
        <f>+('Input Data'!$C$37/'Input Data'!$B$37+'Input Data'!$D$37)*AX27</f>
        <v>644.4100991937911</v>
      </c>
      <c r="BF27" s="12">
        <f>+('Input Data'!$C$34/'Input Data'!$B$34+'Input Data'!$D$34)*'Input Data'!P30</f>
        <v>75600</v>
      </c>
      <c r="BG27" s="12">
        <f>+('Input Data'!$C$35/'Input Data'!$B$35+'Input Data'!$D$35)*'Input Data'!$Q30</f>
        <v>54720</v>
      </c>
      <c r="BI27" s="12" t="str">
        <f>+'Input Data'!I30</f>
        <v>Furn_Nitr</v>
      </c>
      <c r="BJ27" s="31">
        <f t="shared" si="19"/>
        <v>1585.284997710654</v>
      </c>
      <c r="BK27" s="31">
        <f t="shared" si="20"/>
        <v>1612.920384626781</v>
      </c>
      <c r="BL27" s="31">
        <f t="shared" si="21"/>
        <v>1591.6064008452427</v>
      </c>
      <c r="BM27" s="31">
        <f t="shared" si="22"/>
        <v>1491.3706138585555</v>
      </c>
      <c r="BN27" s="75">
        <f t="shared" si="23"/>
        <v>174962.52549232723</v>
      </c>
      <c r="BO27" s="23">
        <f t="shared" si="24"/>
        <v>126639.54226111303</v>
      </c>
      <c r="BQ27" s="12" t="str">
        <f>+'Input Data'!I30</f>
        <v>Furn_Nitr</v>
      </c>
      <c r="BR27" s="31">
        <f t="shared" si="25"/>
        <v>2054.9694082721935</v>
      </c>
      <c r="BS27" s="31">
        <f t="shared" si="26"/>
        <v>2090.7925408826823</v>
      </c>
      <c r="BT27" s="31">
        <f t="shared" si="27"/>
        <v>2063.163701460923</v>
      </c>
      <c r="BU27" s="31">
        <f t="shared" si="28"/>
        <v>1933.2302975813732</v>
      </c>
      <c r="BV27" s="75">
        <f t="shared" si="29"/>
        <v>226800</v>
      </c>
      <c r="BW27" s="23">
        <f t="shared" si="30"/>
        <v>164160</v>
      </c>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row>
    <row r="28" spans="5:138" ht="12.75">
      <c r="E28" s="12" t="str">
        <f>+'Input Data'!I31</f>
        <v>Furn_OxAn</v>
      </c>
      <c r="F28" s="221">
        <v>13.096065257110403</v>
      </c>
      <c r="G28" s="34">
        <f t="shared" si="2"/>
        <v>14</v>
      </c>
      <c r="H28" s="1">
        <f>+('Input Data'!K31+'Input Data'!L31+'Input Data'!M31)*F28/'Input Data'!O31</f>
        <v>3.5359376194198084</v>
      </c>
      <c r="I28" s="20">
        <f>+'Input Data'!N31*F28</f>
        <v>0.9167245679977283</v>
      </c>
      <c r="J28" s="31">
        <f>+('Input Data'!K31+'Input Data'!L31+'Input Data'!M31)*G28/'Input Data'!O31</f>
        <v>3.78</v>
      </c>
      <c r="K28" s="13">
        <f>+'Input Data'!N31*G28</f>
        <v>0.9800000000000001</v>
      </c>
      <c r="N28" s="12" t="str">
        <f>+'Input Data'!I31</f>
        <v>Furn_OxAn</v>
      </c>
      <c r="O28" s="157">
        <v>0.019792972576346875</v>
      </c>
      <c r="P28" s="395">
        <v>0.12064558765605429</v>
      </c>
      <c r="Q28" s="157">
        <v>0.02226701373883607</v>
      </c>
      <c r="R28" s="395">
        <v>0.118490732045344</v>
      </c>
      <c r="S28" s="157">
        <v>0.02226701373883607</v>
      </c>
      <c r="T28" s="395">
        <v>0.11633643657386183</v>
      </c>
      <c r="U28" s="157">
        <v>0.024741698177758575</v>
      </c>
      <c r="V28" s="396">
        <v>0.10125580813425857</v>
      </c>
      <c r="W28" s="74"/>
      <c r="X28" s="12" t="str">
        <f>+'Input Data'!I31</f>
        <v>Furn_OxAn</v>
      </c>
      <c r="Y28" s="37">
        <f t="shared" si="3"/>
        <v>0.2592100604920353</v>
      </c>
      <c r="Z28" s="7">
        <f t="shared" si="4"/>
        <v>1.5799824889261205</v>
      </c>
      <c r="AA28" s="37">
        <f t="shared" si="5"/>
        <v>0.2916102650047711</v>
      </c>
      <c r="AB28" s="38">
        <f t="shared" si="6"/>
        <v>1.5517623592286078</v>
      </c>
      <c r="AC28" s="7">
        <f t="shared" si="7"/>
        <v>0.2916102650047711</v>
      </c>
      <c r="AD28" s="7">
        <f t="shared" si="8"/>
        <v>1.52354956515098</v>
      </c>
      <c r="AE28" s="37">
        <f t="shared" si="9"/>
        <v>0.32401889390765587</v>
      </c>
      <c r="AF28" s="13">
        <f t="shared" si="10"/>
        <v>1.3260526709877005</v>
      </c>
      <c r="AH28" s="12" t="str">
        <f>+'Input Data'!I31</f>
        <v>Furn_OxAn</v>
      </c>
      <c r="AI28" s="12">
        <f t="shared" si="11"/>
        <v>0.27710161606885625</v>
      </c>
      <c r="AJ28" s="7">
        <f t="shared" si="12"/>
        <v>1.6890382271847602</v>
      </c>
      <c r="AK28" s="37">
        <f t="shared" si="13"/>
        <v>0.311738192343705</v>
      </c>
      <c r="AL28" s="38">
        <f t="shared" si="14"/>
        <v>1.658870248634816</v>
      </c>
      <c r="AM28" s="7">
        <f t="shared" si="15"/>
        <v>0.311738192343705</v>
      </c>
      <c r="AN28" s="7">
        <f t="shared" si="16"/>
        <v>1.6287101120340657</v>
      </c>
      <c r="AO28" s="37">
        <f t="shared" si="17"/>
        <v>0.34638377448862007</v>
      </c>
      <c r="AP28" s="13">
        <f t="shared" si="18"/>
        <v>1.4175813138796198</v>
      </c>
      <c r="AT28" s="12" t="str">
        <f>+'Input Data'!I31</f>
        <v>Furn_OxAn</v>
      </c>
      <c r="AU28" s="101">
        <f>+(O28+P28/2)*'Input Data'!$E$37</f>
        <v>12.017364960656105</v>
      </c>
      <c r="AV28" s="1">
        <f>+(Q28+R28/2)*'Input Data'!$E$37</f>
        <v>12.226856964226211</v>
      </c>
      <c r="AW28" s="97">
        <f>+(S28+T28/2)*'Input Data'!$E$37</f>
        <v>12.06528480386505</v>
      </c>
      <c r="AX28" s="23">
        <f>+(U28+V28/2)*'Input Data'!$E$37</f>
        <v>11.305440336733177</v>
      </c>
      <c r="BA28" s="12" t="str">
        <f>+'Input Data'!I31</f>
        <v>Furn_OxAn</v>
      </c>
      <c r="BB28" s="31">
        <f>+('Input Data'!$C$37/'Input Data'!$B$37+'Input Data'!$D$37)*AU28</f>
        <v>684.9898027573979</v>
      </c>
      <c r="BC28" s="31">
        <f>+('Input Data'!$C$37/'Input Data'!$B$37+'Input Data'!$D$37)*AV28</f>
        <v>696.9308469608941</v>
      </c>
      <c r="BD28" s="31">
        <f>+('Input Data'!$C$37/'Input Data'!$B$37+'Input Data'!$D$37)*AW28</f>
        <v>687.7212338203078</v>
      </c>
      <c r="BE28" s="31">
        <f>+('Input Data'!$C$37/'Input Data'!$B$37+'Input Data'!$D$37)*AX28</f>
        <v>644.4100991937911</v>
      </c>
      <c r="BF28" s="12">
        <f>+('Input Data'!$C$34/'Input Data'!$B$34+'Input Data'!$D$34)*'Input Data'!P31</f>
        <v>75600</v>
      </c>
      <c r="BG28" s="12">
        <f>+('Input Data'!$C$35/'Input Data'!$B$35+'Input Data'!$D$35)*'Input Data'!$Q31</f>
        <v>54720</v>
      </c>
      <c r="BI28" s="12" t="str">
        <f>+'Input Data'!I31</f>
        <v>Furn_OxAn</v>
      </c>
      <c r="BJ28" s="31">
        <f t="shared" si="19"/>
        <v>8970.671157366067</v>
      </c>
      <c r="BK28" s="31">
        <f t="shared" si="20"/>
        <v>9127.051851493092</v>
      </c>
      <c r="BL28" s="31">
        <f t="shared" si="21"/>
        <v>9006.442156811234</v>
      </c>
      <c r="BM28" s="31">
        <f t="shared" si="22"/>
        <v>8439.236711382877</v>
      </c>
      <c r="BN28" s="75">
        <f t="shared" si="23"/>
        <v>990062.5334375465</v>
      </c>
      <c r="BO28" s="23">
        <f t="shared" si="24"/>
        <v>716616.6908690813</v>
      </c>
      <c r="BQ28" s="12" t="str">
        <f>+'Input Data'!I31</f>
        <v>Furn_OxAn</v>
      </c>
      <c r="BR28" s="31">
        <f t="shared" si="25"/>
        <v>9589.85723860357</v>
      </c>
      <c r="BS28" s="31">
        <f t="shared" si="26"/>
        <v>9757.031857452517</v>
      </c>
      <c r="BT28" s="31">
        <f t="shared" si="27"/>
        <v>9628.097273484309</v>
      </c>
      <c r="BU28" s="31">
        <f t="shared" si="28"/>
        <v>9021.741388713075</v>
      </c>
      <c r="BV28" s="75">
        <f t="shared" si="29"/>
        <v>1058400</v>
      </c>
      <c r="BW28" s="23">
        <f t="shared" si="30"/>
        <v>766080</v>
      </c>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row>
    <row r="29" spans="5:138" ht="12.75">
      <c r="E29" s="12" t="str">
        <f>+'Input Data'!I32</f>
        <v>Furn_OxAn(I)</v>
      </c>
      <c r="F29" s="221">
        <v>3.9421372172644693</v>
      </c>
      <c r="G29" s="34">
        <f t="shared" si="2"/>
        <v>4</v>
      </c>
      <c r="H29" s="1">
        <f>+('Input Data'!K32+'Input Data'!L32+'Input Data'!M32)*F29/'Input Data'!O32</f>
        <v>1.0643770486614066</v>
      </c>
      <c r="I29" s="20">
        <f>+'Input Data'!N32*F29</f>
        <v>0.27594960520851286</v>
      </c>
      <c r="J29" s="31">
        <f>+('Input Data'!K32+'Input Data'!L32+'Input Data'!M32)*G29/'Input Data'!O32</f>
        <v>1.0799999999999998</v>
      </c>
      <c r="K29" s="13">
        <f>+'Input Data'!N32*G29</f>
        <v>0.28</v>
      </c>
      <c r="N29" s="12" t="str">
        <f>+'Input Data'!I32</f>
        <v>Furn_OxAn(I)</v>
      </c>
      <c r="O29" s="157">
        <v>0.019792972576346875</v>
      </c>
      <c r="P29" s="395">
        <v>0.12064558765605429</v>
      </c>
      <c r="Q29" s="157">
        <v>0.02226701373883607</v>
      </c>
      <c r="R29" s="395">
        <v>0.118490732045344</v>
      </c>
      <c r="S29" s="157">
        <v>0.02226701373883607</v>
      </c>
      <c r="T29" s="395">
        <v>0.11633643657386183</v>
      </c>
      <c r="U29" s="157">
        <v>0.024741698177758575</v>
      </c>
      <c r="V29" s="396">
        <v>0.10125580813425857</v>
      </c>
      <c r="W29" s="74"/>
      <c r="X29" s="12" t="str">
        <f>+'Input Data'!I32</f>
        <v>Furn_OxAn(I)</v>
      </c>
      <c r="Y29" s="37">
        <f t="shared" si="3"/>
        <v>0.07802661383351203</v>
      </c>
      <c r="Z29" s="7">
        <f t="shared" si="4"/>
        <v>0.4756014611976745</v>
      </c>
      <c r="AA29" s="37">
        <f t="shared" si="5"/>
        <v>0.08777962357720494</v>
      </c>
      <c r="AB29" s="38">
        <f t="shared" si="6"/>
        <v>0.46710672469686226</v>
      </c>
      <c r="AC29" s="7">
        <f t="shared" si="7"/>
        <v>0.08777962357720494</v>
      </c>
      <c r="AD29" s="7">
        <f t="shared" si="8"/>
        <v>0.4586141963417481</v>
      </c>
      <c r="AE29" s="37">
        <f t="shared" si="9"/>
        <v>0.09753516920486657</v>
      </c>
      <c r="AF29" s="13">
        <f t="shared" si="10"/>
        <v>0.3991642897102511</v>
      </c>
      <c r="AH29" s="12" t="str">
        <f>+'Input Data'!I32</f>
        <v>Furn_OxAn(I)</v>
      </c>
      <c r="AI29" s="12">
        <f t="shared" si="11"/>
        <v>0.0791718903053875</v>
      </c>
      <c r="AJ29" s="7">
        <f t="shared" si="12"/>
        <v>0.48258235062421717</v>
      </c>
      <c r="AK29" s="37">
        <f t="shared" si="13"/>
        <v>0.08906805495534428</v>
      </c>
      <c r="AL29" s="38">
        <f t="shared" si="14"/>
        <v>0.473962928181376</v>
      </c>
      <c r="AM29" s="7">
        <f t="shared" si="15"/>
        <v>0.08906805495534428</v>
      </c>
      <c r="AN29" s="7">
        <f t="shared" si="16"/>
        <v>0.46534574629544734</v>
      </c>
      <c r="AO29" s="37">
        <f t="shared" si="17"/>
        <v>0.0989667927110343</v>
      </c>
      <c r="AP29" s="13">
        <f t="shared" si="18"/>
        <v>0.40502323253703426</v>
      </c>
      <c r="AT29" s="12" t="str">
        <f>+'Input Data'!I32</f>
        <v>Furn_OxAn(I)</v>
      </c>
      <c r="AU29" s="101">
        <f>+(O29+P29/2)*'Input Data'!$E$37</f>
        <v>12.017364960656105</v>
      </c>
      <c r="AV29" s="1">
        <f>+(Q29+R29/2)*'Input Data'!$E$37</f>
        <v>12.226856964226211</v>
      </c>
      <c r="AW29" s="97">
        <f>+(S29+T29/2)*'Input Data'!$E$37</f>
        <v>12.06528480386505</v>
      </c>
      <c r="AX29" s="23">
        <f>+(U29+V29/2)*'Input Data'!$E$37</f>
        <v>11.305440336733177</v>
      </c>
      <c r="BA29" s="12" t="str">
        <f>+'Input Data'!I32</f>
        <v>Furn_OxAn(I)</v>
      </c>
      <c r="BB29" s="31">
        <f>+('Input Data'!$C$37/'Input Data'!$B$37+'Input Data'!$D$37)*AU29</f>
        <v>684.9898027573979</v>
      </c>
      <c r="BC29" s="31">
        <f>+('Input Data'!$C$37/'Input Data'!$B$37+'Input Data'!$D$37)*AV29</f>
        <v>696.9308469608941</v>
      </c>
      <c r="BD29" s="31">
        <f>+('Input Data'!$C$37/'Input Data'!$B$37+'Input Data'!$D$37)*AW29</f>
        <v>687.7212338203078</v>
      </c>
      <c r="BE29" s="31">
        <f>+('Input Data'!$C$37/'Input Data'!$B$37+'Input Data'!$D$37)*AX29</f>
        <v>644.4100991937911</v>
      </c>
      <c r="BF29" s="12">
        <f>+('Input Data'!$C$34/'Input Data'!$B$34+'Input Data'!$D$34)*'Input Data'!P32</f>
        <v>75600</v>
      </c>
      <c r="BG29" s="12">
        <f>+('Input Data'!$C$35/'Input Data'!$B$35+'Input Data'!$D$35)*'Input Data'!$Q32</f>
        <v>54720</v>
      </c>
      <c r="BI29" s="12" t="str">
        <f>+'Input Data'!I32</f>
        <v>Furn_OxAn(I)</v>
      </c>
      <c r="BJ29" s="31">
        <f t="shared" si="19"/>
        <v>2700.323794896586</v>
      </c>
      <c r="BK29" s="31">
        <f t="shared" si="20"/>
        <v>2747.3970296641887</v>
      </c>
      <c r="BL29" s="31">
        <f t="shared" si="21"/>
        <v>2711.091470946076</v>
      </c>
      <c r="BM29" s="31">
        <f t="shared" si="22"/>
        <v>2540.3530352129324</v>
      </c>
      <c r="BN29" s="75">
        <f t="shared" si="23"/>
        <v>298025.57362519385</v>
      </c>
      <c r="BO29" s="23">
        <f t="shared" si="24"/>
        <v>215713.74852871176</v>
      </c>
      <c r="BQ29" s="12" t="str">
        <f>+'Input Data'!I32</f>
        <v>Furn_OxAn(I)</v>
      </c>
      <c r="BR29" s="31">
        <f t="shared" si="25"/>
        <v>2739.9592110295916</v>
      </c>
      <c r="BS29" s="31">
        <f t="shared" si="26"/>
        <v>2787.7233878435763</v>
      </c>
      <c r="BT29" s="31">
        <f t="shared" si="27"/>
        <v>2750.8849352812313</v>
      </c>
      <c r="BU29" s="31">
        <f t="shared" si="28"/>
        <v>2577.6403967751644</v>
      </c>
      <c r="BV29" s="75">
        <f t="shared" si="29"/>
        <v>302400</v>
      </c>
      <c r="BW29" s="23">
        <f t="shared" si="30"/>
        <v>218880</v>
      </c>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row>
    <row r="30" spans="5:138" ht="12.75">
      <c r="E30" s="12" t="str">
        <f>+'Input Data'!I33</f>
        <v>Furn_Poly</v>
      </c>
      <c r="F30" s="221">
        <v>2.3068964271257975</v>
      </c>
      <c r="G30" s="34">
        <f t="shared" si="2"/>
        <v>3</v>
      </c>
      <c r="H30" s="1">
        <f>+('Input Data'!K33+'Input Data'!L33+'Input Data'!M33)*F30/'Input Data'!O33</f>
        <v>0.6228620353239653</v>
      </c>
      <c r="I30" s="20">
        <f>+'Input Data'!N33*F30</f>
        <v>0.16148274989880584</v>
      </c>
      <c r="J30" s="31">
        <f>+('Input Data'!K33+'Input Data'!L33+'Input Data'!M33)*G30/'Input Data'!O33</f>
        <v>0.8099999999999999</v>
      </c>
      <c r="K30" s="13">
        <f>+'Input Data'!N33*G30</f>
        <v>0.21000000000000002</v>
      </c>
      <c r="N30" s="12" t="str">
        <f>+'Input Data'!I33</f>
        <v>Furn_Poly</v>
      </c>
      <c r="O30" s="157">
        <v>0.019792972576346875</v>
      </c>
      <c r="P30" s="395">
        <v>0.12064558765605429</v>
      </c>
      <c r="Q30" s="157">
        <v>0.02226701373883607</v>
      </c>
      <c r="R30" s="395">
        <v>0.118490732045344</v>
      </c>
      <c r="S30" s="157">
        <v>0.02226701373883607</v>
      </c>
      <c r="T30" s="395">
        <v>0.11633643657386183</v>
      </c>
      <c r="U30" s="157">
        <v>0.024741698177758575</v>
      </c>
      <c r="V30" s="396">
        <v>0.10125580813425857</v>
      </c>
      <c r="W30" s="74"/>
      <c r="X30" s="12" t="str">
        <f>+'Input Data'!I33</f>
        <v>Furn_Poly</v>
      </c>
      <c r="Y30" s="37">
        <f t="shared" si="3"/>
        <v>0.045660337718573495</v>
      </c>
      <c r="Z30" s="7">
        <f t="shared" si="4"/>
        <v>0.27831687511224384</v>
      </c>
      <c r="AA30" s="37">
        <f t="shared" si="5"/>
        <v>0.051367694436881974</v>
      </c>
      <c r="AB30" s="38">
        <f t="shared" si="6"/>
        <v>0.2733458464029243</v>
      </c>
      <c r="AC30" s="7">
        <f t="shared" si="7"/>
        <v>0.051367694436881974</v>
      </c>
      <c r="AD30" s="7">
        <f t="shared" si="8"/>
        <v>0.26837610987678884</v>
      </c>
      <c r="AE30" s="37">
        <f t="shared" si="9"/>
        <v>0.05707653512729611</v>
      </c>
      <c r="AF30" s="13">
        <f t="shared" si="10"/>
        <v>0.23358666201065634</v>
      </c>
      <c r="AH30" s="12" t="str">
        <f>+'Input Data'!I33</f>
        <v>Furn_Poly</v>
      </c>
      <c r="AI30" s="12">
        <f t="shared" si="11"/>
        <v>0.05937891772904062</v>
      </c>
      <c r="AJ30" s="7">
        <f t="shared" si="12"/>
        <v>0.3619367629681629</v>
      </c>
      <c r="AK30" s="37">
        <f t="shared" si="13"/>
        <v>0.0668010412165082</v>
      </c>
      <c r="AL30" s="38">
        <f t="shared" si="14"/>
        <v>0.355472196136032</v>
      </c>
      <c r="AM30" s="7">
        <f t="shared" si="15"/>
        <v>0.0668010412165082</v>
      </c>
      <c r="AN30" s="7">
        <f t="shared" si="16"/>
        <v>0.3490093097215855</v>
      </c>
      <c r="AO30" s="37">
        <f t="shared" si="17"/>
        <v>0.07422509453327572</v>
      </c>
      <c r="AP30" s="13">
        <f t="shared" si="18"/>
        <v>0.3037674244027757</v>
      </c>
      <c r="AT30" s="12" t="str">
        <f>+'Input Data'!I33</f>
        <v>Furn_Poly</v>
      </c>
      <c r="AU30" s="101">
        <f>+(O30+P30/2)*'Input Data'!$E$37</f>
        <v>12.017364960656105</v>
      </c>
      <c r="AV30" s="1">
        <f>+(Q30+R30/2)*'Input Data'!$E$37</f>
        <v>12.226856964226211</v>
      </c>
      <c r="AW30" s="97">
        <f>+(S30+T30/2)*'Input Data'!$E$37</f>
        <v>12.06528480386505</v>
      </c>
      <c r="AX30" s="23">
        <f>+(U30+V30/2)*'Input Data'!$E$37</f>
        <v>11.305440336733177</v>
      </c>
      <c r="BA30" s="12" t="str">
        <f>+'Input Data'!I33</f>
        <v>Furn_Poly</v>
      </c>
      <c r="BB30" s="31">
        <f>+('Input Data'!$C$37/'Input Data'!$B$37+'Input Data'!$D$37)*AU30</f>
        <v>684.9898027573979</v>
      </c>
      <c r="BC30" s="31">
        <f>+('Input Data'!$C$37/'Input Data'!$B$37+'Input Data'!$D$37)*AV30</f>
        <v>696.9308469608941</v>
      </c>
      <c r="BD30" s="31">
        <f>+('Input Data'!$C$37/'Input Data'!$B$37+'Input Data'!$D$37)*AW30</f>
        <v>687.7212338203078</v>
      </c>
      <c r="BE30" s="31">
        <f>+('Input Data'!$C$37/'Input Data'!$B$37+'Input Data'!$D$37)*AX30</f>
        <v>644.4100991937911</v>
      </c>
      <c r="BF30" s="12">
        <f>+('Input Data'!$C$34/'Input Data'!$B$34+'Input Data'!$D$34)*'Input Data'!P33</f>
        <v>75600</v>
      </c>
      <c r="BG30" s="12">
        <f>+('Input Data'!$C$35/'Input Data'!$B$35+'Input Data'!$D$35)*'Input Data'!$Q33</f>
        <v>54720</v>
      </c>
      <c r="BI30" s="12" t="str">
        <f>+'Input Data'!I33</f>
        <v>Furn_Poly</v>
      </c>
      <c r="BJ30" s="31">
        <f t="shared" si="19"/>
        <v>1580.2005285986459</v>
      </c>
      <c r="BK30" s="31">
        <f t="shared" si="20"/>
        <v>1607.7472808078426</v>
      </c>
      <c r="BL30" s="31">
        <f t="shared" si="21"/>
        <v>1586.5016571586132</v>
      </c>
      <c r="BM30" s="31">
        <f t="shared" si="22"/>
        <v>1486.5873554339373</v>
      </c>
      <c r="BN30" s="75">
        <f t="shared" si="23"/>
        <v>174401.36989071028</v>
      </c>
      <c r="BO30" s="23">
        <f t="shared" si="24"/>
        <v>126233.37249232363</v>
      </c>
      <c r="BQ30" s="12" t="str">
        <f>+'Input Data'!I33</f>
        <v>Furn_Poly</v>
      </c>
      <c r="BR30" s="31">
        <f t="shared" si="25"/>
        <v>2054.9694082721935</v>
      </c>
      <c r="BS30" s="31">
        <f t="shared" si="26"/>
        <v>2090.7925408826823</v>
      </c>
      <c r="BT30" s="31">
        <f t="shared" si="27"/>
        <v>2063.163701460923</v>
      </c>
      <c r="BU30" s="31">
        <f t="shared" si="28"/>
        <v>1933.2302975813732</v>
      </c>
      <c r="BV30" s="75">
        <f t="shared" si="29"/>
        <v>226800</v>
      </c>
      <c r="BW30" s="23">
        <f t="shared" si="30"/>
        <v>164160</v>
      </c>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row>
    <row r="31" spans="5:138" ht="12.75">
      <c r="E31" s="12" t="str">
        <f>+'Input Data'!I34</f>
        <v>Furn_TEOS</v>
      </c>
      <c r="F31" s="221">
        <v>2.3017968699566564</v>
      </c>
      <c r="G31" s="34">
        <f t="shared" si="2"/>
        <v>3</v>
      </c>
      <c r="H31" s="1">
        <f>+('Input Data'!K34+'Input Data'!L34+'Input Data'!M34)*F31/'Input Data'!O34</f>
        <v>0.6214851548882971</v>
      </c>
      <c r="I31" s="20">
        <f>+'Input Data'!N34*F31</f>
        <v>0.16112578089696597</v>
      </c>
      <c r="J31" s="31">
        <f>+('Input Data'!K34+'Input Data'!L34+'Input Data'!M34)*G31/'Input Data'!O34</f>
        <v>0.8099999999999999</v>
      </c>
      <c r="K31" s="13">
        <f>+'Input Data'!N34*G31</f>
        <v>0.21000000000000002</v>
      </c>
      <c r="N31" s="12" t="str">
        <f>+'Input Data'!I34</f>
        <v>Furn_TEOS</v>
      </c>
      <c r="O31" s="157">
        <v>0.019792972576346875</v>
      </c>
      <c r="P31" s="395">
        <v>0.12064558765605429</v>
      </c>
      <c r="Q31" s="157">
        <v>0.02226701373883607</v>
      </c>
      <c r="R31" s="395">
        <v>0.118490732045344</v>
      </c>
      <c r="S31" s="157">
        <v>0.02226701373883607</v>
      </c>
      <c r="T31" s="395">
        <v>0.11633643657386183</v>
      </c>
      <c r="U31" s="157">
        <v>0.024741698177758575</v>
      </c>
      <c r="V31" s="396">
        <v>0.10125580813425857</v>
      </c>
      <c r="W31" s="74"/>
      <c r="X31" s="12" t="str">
        <f>+'Input Data'!I34</f>
        <v>Furn_TEOS</v>
      </c>
      <c r="Y31" s="37">
        <f t="shared" si="3"/>
        <v>0.045559402323373174</v>
      </c>
      <c r="Z31" s="7">
        <f t="shared" si="4"/>
        <v>0.2777016360407872</v>
      </c>
      <c r="AA31" s="37">
        <f t="shared" si="5"/>
        <v>0.051254142527334734</v>
      </c>
      <c r="AB31" s="38">
        <f t="shared" si="6"/>
        <v>0.2727415961408457</v>
      </c>
      <c r="AC31" s="7">
        <f t="shared" si="7"/>
        <v>0.051254142527334734</v>
      </c>
      <c r="AD31" s="7">
        <f t="shared" si="8"/>
        <v>0.26778284556762627</v>
      </c>
      <c r="AE31" s="37">
        <f t="shared" si="9"/>
        <v>0.056950363422977</v>
      </c>
      <c r="AF31" s="13">
        <f t="shared" si="10"/>
        <v>0.2330703022283681</v>
      </c>
      <c r="AH31" s="12" t="str">
        <f>+'Input Data'!I34</f>
        <v>Furn_TEOS</v>
      </c>
      <c r="AI31" s="12">
        <f t="shared" si="11"/>
        <v>0.05937891772904062</v>
      </c>
      <c r="AJ31" s="7">
        <f t="shared" si="12"/>
        <v>0.3619367629681629</v>
      </c>
      <c r="AK31" s="37">
        <f t="shared" si="13"/>
        <v>0.0668010412165082</v>
      </c>
      <c r="AL31" s="38">
        <f t="shared" si="14"/>
        <v>0.355472196136032</v>
      </c>
      <c r="AM31" s="7">
        <f t="shared" si="15"/>
        <v>0.0668010412165082</v>
      </c>
      <c r="AN31" s="7">
        <f t="shared" si="16"/>
        <v>0.3490093097215855</v>
      </c>
      <c r="AO31" s="37">
        <f t="shared" si="17"/>
        <v>0.07422509453327572</v>
      </c>
      <c r="AP31" s="13">
        <f t="shared" si="18"/>
        <v>0.3037674244027757</v>
      </c>
      <c r="AT31" s="12" t="str">
        <f>+'Input Data'!I34</f>
        <v>Furn_TEOS</v>
      </c>
      <c r="AU31" s="101">
        <f>+(O31+P31/2)*'Input Data'!$E$37</f>
        <v>12.017364960656105</v>
      </c>
      <c r="AV31" s="1">
        <f>+(Q31+R31/2)*'Input Data'!$E$37</f>
        <v>12.226856964226211</v>
      </c>
      <c r="AW31" s="97">
        <f>+(S31+T31/2)*'Input Data'!$E$37</f>
        <v>12.06528480386505</v>
      </c>
      <c r="AX31" s="23">
        <f>+(U31+V31/2)*'Input Data'!$E$37</f>
        <v>11.305440336733177</v>
      </c>
      <c r="BA31" s="12" t="str">
        <f>+'Input Data'!I34</f>
        <v>Furn_TEOS</v>
      </c>
      <c r="BB31" s="31">
        <f>+('Input Data'!$C$37/'Input Data'!$B$37+'Input Data'!$D$37)*AU31</f>
        <v>684.9898027573979</v>
      </c>
      <c r="BC31" s="31">
        <f>+('Input Data'!$C$37/'Input Data'!$B$37+'Input Data'!$D$37)*AV31</f>
        <v>696.9308469608941</v>
      </c>
      <c r="BD31" s="31">
        <f>+('Input Data'!$C$37/'Input Data'!$B$37+'Input Data'!$D$37)*AW31</f>
        <v>687.7212338203078</v>
      </c>
      <c r="BE31" s="31">
        <f>+('Input Data'!$C$37/'Input Data'!$B$37+'Input Data'!$D$37)*AX31</f>
        <v>644.4100991937911</v>
      </c>
      <c r="BF31" s="12">
        <f>+('Input Data'!$C$34/'Input Data'!$B$34+'Input Data'!$D$34)*'Input Data'!P34</f>
        <v>75600</v>
      </c>
      <c r="BG31" s="12">
        <f>+('Input Data'!$C$35/'Input Data'!$B$35+'Input Data'!$D$35)*'Input Data'!$Q34</f>
        <v>54720</v>
      </c>
      <c r="BI31" s="12" t="str">
        <f>+'Input Data'!I34</f>
        <v>Furn_TEOS</v>
      </c>
      <c r="BJ31" s="31">
        <f t="shared" si="19"/>
        <v>1576.707383939206</v>
      </c>
      <c r="BK31" s="31">
        <f t="shared" si="20"/>
        <v>1604.1932421108277</v>
      </c>
      <c r="BL31" s="31">
        <f t="shared" si="21"/>
        <v>1582.9945834103144</v>
      </c>
      <c r="BM31" s="31">
        <f t="shared" si="22"/>
        <v>1483.301149292727</v>
      </c>
      <c r="BN31" s="75">
        <f t="shared" si="23"/>
        <v>174015.84336872323</v>
      </c>
      <c r="BO31" s="23">
        <f t="shared" si="24"/>
        <v>125954.32472402824</v>
      </c>
      <c r="BQ31" s="12" t="str">
        <f>+'Input Data'!I34</f>
        <v>Furn_TEOS</v>
      </c>
      <c r="BR31" s="31">
        <f t="shared" si="25"/>
        <v>2054.9694082721935</v>
      </c>
      <c r="BS31" s="31">
        <f t="shared" si="26"/>
        <v>2090.7925408826823</v>
      </c>
      <c r="BT31" s="31">
        <f t="shared" si="27"/>
        <v>2063.163701460923</v>
      </c>
      <c r="BU31" s="31">
        <f t="shared" si="28"/>
        <v>1933.2302975813732</v>
      </c>
      <c r="BV31" s="75">
        <f t="shared" si="29"/>
        <v>226800</v>
      </c>
      <c r="BW31" s="23">
        <f t="shared" si="30"/>
        <v>164160</v>
      </c>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row>
    <row r="32" spans="5:138" ht="12.75">
      <c r="E32" s="12" t="str">
        <f>+'Input Data'!I35</f>
        <v>Implant_HiE</v>
      </c>
      <c r="F32" s="221">
        <v>1.8721933237348602</v>
      </c>
      <c r="G32" s="34">
        <f t="shared" si="2"/>
        <v>2</v>
      </c>
      <c r="H32" s="1">
        <f>+('Input Data'!K35+'Input Data'!L35+'Input Data'!M35)*F32/'Input Data'!O35</f>
        <v>1.5164765922252368</v>
      </c>
      <c r="I32" s="20">
        <f>+'Input Data'!N35*F32</f>
        <v>0.3931605979843206</v>
      </c>
      <c r="J32" s="31">
        <f>+('Input Data'!K35+'Input Data'!L35+'Input Data'!M35)*G32/'Input Data'!O35</f>
        <v>1.6199999999999999</v>
      </c>
      <c r="K32" s="13">
        <f>+'Input Data'!N35*G32</f>
        <v>0.42</v>
      </c>
      <c r="N32" s="12" t="str">
        <f>+'Input Data'!I35</f>
        <v>Implant_HiE</v>
      </c>
      <c r="O32" s="157">
        <v>0.0791718903053875</v>
      </c>
      <c r="P32" s="395">
        <v>0.30161396914013566</v>
      </c>
      <c r="Q32" s="157">
        <v>0.08906805495534428</v>
      </c>
      <c r="R32" s="395">
        <v>0.29622683011335993</v>
      </c>
      <c r="S32" s="157">
        <v>0.08906805495534428</v>
      </c>
      <c r="T32" s="395">
        <v>0.29084109143465453</v>
      </c>
      <c r="U32" s="157">
        <v>0.0989667927110343</v>
      </c>
      <c r="V32" s="396">
        <v>0.25313952033564635</v>
      </c>
      <c r="W32" s="74"/>
      <c r="X32" s="12" t="str">
        <f>+'Input Data'!I35</f>
        <v>Implant_HiE</v>
      </c>
      <c r="Y32" s="37">
        <f t="shared" si="3"/>
        <v>0.1482250844572152</v>
      </c>
      <c r="Z32" s="7">
        <f t="shared" si="4"/>
        <v>0.5646796593693342</v>
      </c>
      <c r="AA32" s="37">
        <f t="shared" si="5"/>
        <v>0.1667526178454452</v>
      </c>
      <c r="AB32" s="38">
        <f t="shared" si="6"/>
        <v>0.5545938936493731</v>
      </c>
      <c r="AC32" s="7">
        <f t="shared" si="7"/>
        <v>0.1667526178454452</v>
      </c>
      <c r="AD32" s="7">
        <f t="shared" si="8"/>
        <v>0.5445107496517203</v>
      </c>
      <c r="AE32" s="37">
        <f t="shared" si="9"/>
        <v>0.18528496858505025</v>
      </c>
      <c r="AF32" s="13">
        <f t="shared" si="10"/>
        <v>0.473926119945842</v>
      </c>
      <c r="AH32" s="12" t="str">
        <f>+'Input Data'!I35</f>
        <v>Implant_HiE</v>
      </c>
      <c r="AI32" s="12">
        <f t="shared" si="11"/>
        <v>0.158343780610775</v>
      </c>
      <c r="AJ32" s="7">
        <f t="shared" si="12"/>
        <v>0.6032279382802713</v>
      </c>
      <c r="AK32" s="37">
        <f t="shared" si="13"/>
        <v>0.17813610991068857</v>
      </c>
      <c r="AL32" s="38">
        <f t="shared" si="14"/>
        <v>0.5924536602267199</v>
      </c>
      <c r="AM32" s="7">
        <f t="shared" si="15"/>
        <v>0.17813610991068857</v>
      </c>
      <c r="AN32" s="7">
        <f t="shared" si="16"/>
        <v>0.5816821828693091</v>
      </c>
      <c r="AO32" s="37">
        <f t="shared" si="17"/>
        <v>0.1979335854220686</v>
      </c>
      <c r="AP32" s="13">
        <f t="shared" si="18"/>
        <v>0.5062790406712927</v>
      </c>
      <c r="AT32" s="12" t="str">
        <f>+'Input Data'!I35</f>
        <v>Implant_HiE</v>
      </c>
      <c r="AU32" s="101">
        <f>+(O32+P32/2)*'Input Data'!$E$37</f>
        <v>34.496831231318296</v>
      </c>
      <c r="AV32" s="1">
        <f>+(Q32+R32/2)*'Input Data'!$E$37</f>
        <v>35.57722050180364</v>
      </c>
      <c r="AW32" s="97">
        <f>+(S32+T32/2)*'Input Data'!$E$37</f>
        <v>35.17329010090073</v>
      </c>
      <c r="AX32" s="23">
        <f>+(U32+V32/2)*'Input Data'!$E$37</f>
        <v>33.83048293182863</v>
      </c>
      <c r="BA32" s="12" t="str">
        <f>+'Input Data'!I35</f>
        <v>Implant_HiE</v>
      </c>
      <c r="BB32" s="31">
        <f>+('Input Data'!$C$37/'Input Data'!$B$37+'Input Data'!$D$37)*AU32</f>
        <v>1966.3193801851428</v>
      </c>
      <c r="BC32" s="31">
        <f>+('Input Data'!$C$37/'Input Data'!$B$37+'Input Data'!$D$37)*AV32</f>
        <v>2027.9015686028074</v>
      </c>
      <c r="BD32" s="31">
        <f>+('Input Data'!$C$37/'Input Data'!$B$37+'Input Data'!$D$37)*AW32</f>
        <v>2004.8775357513416</v>
      </c>
      <c r="BE32" s="31">
        <f>+('Input Data'!$C$37/'Input Data'!$B$37+'Input Data'!$D$37)*AX32</f>
        <v>1928.3375271142318</v>
      </c>
      <c r="BF32" s="12">
        <f>+('Input Data'!$C$34/'Input Data'!$B$34+'Input Data'!$D$34)*'Input Data'!P35</f>
        <v>441000</v>
      </c>
      <c r="BG32" s="12">
        <f>+('Input Data'!$C$35/'Input Data'!$B$35+'Input Data'!$D$35)*'Input Data'!$Q35</f>
        <v>319200</v>
      </c>
      <c r="BI32" s="12" t="str">
        <f>+'Input Data'!I35</f>
        <v>Implant_HiE</v>
      </c>
      <c r="BJ32" s="31">
        <f t="shared" si="19"/>
        <v>3681.3300159130927</v>
      </c>
      <c r="BK32" s="31">
        <f t="shared" si="20"/>
        <v>3796.6237779296266</v>
      </c>
      <c r="BL32" s="31">
        <f t="shared" si="21"/>
        <v>3753.5183373396603</v>
      </c>
      <c r="BM32" s="31">
        <f t="shared" si="22"/>
        <v>3610.220644170655</v>
      </c>
      <c r="BN32" s="75">
        <f t="shared" si="23"/>
        <v>825637.2557670734</v>
      </c>
      <c r="BO32" s="23">
        <f t="shared" si="24"/>
        <v>597604.1089361674</v>
      </c>
      <c r="BQ32" s="12" t="str">
        <f>+'Input Data'!I35</f>
        <v>Implant_HiE</v>
      </c>
      <c r="BR32" s="31">
        <f t="shared" si="25"/>
        <v>3932.6387603702856</v>
      </c>
      <c r="BS32" s="31">
        <f t="shared" si="26"/>
        <v>4055.803137205615</v>
      </c>
      <c r="BT32" s="31">
        <f t="shared" si="27"/>
        <v>4009.755071502683</v>
      </c>
      <c r="BU32" s="31">
        <f t="shared" si="28"/>
        <v>3856.6750542284635</v>
      </c>
      <c r="BV32" s="75">
        <f t="shared" si="29"/>
        <v>882000</v>
      </c>
      <c r="BW32" s="23">
        <f t="shared" si="30"/>
        <v>638400</v>
      </c>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row>
    <row r="33" spans="5:138" ht="12.75">
      <c r="E33" s="12" t="str">
        <f>+'Input Data'!I36</f>
        <v>Implant_LoE</v>
      </c>
      <c r="F33" s="221">
        <v>3.2910649505566774</v>
      </c>
      <c r="G33" s="34">
        <f t="shared" si="2"/>
        <v>4</v>
      </c>
      <c r="H33" s="1">
        <f>+('Input Data'!K36+'Input Data'!L36+'Input Data'!M36)*F33/'Input Data'!O36</f>
        <v>2.6657626099509084</v>
      </c>
      <c r="I33" s="20">
        <f>+'Input Data'!N36*F33</f>
        <v>0.6911236396169023</v>
      </c>
      <c r="J33" s="31">
        <f>+('Input Data'!K36+'Input Data'!L36+'Input Data'!M36)*G33/'Input Data'!O36</f>
        <v>3.2399999999999998</v>
      </c>
      <c r="K33" s="13">
        <f>+'Input Data'!N36*G33</f>
        <v>0.84</v>
      </c>
      <c r="N33" s="12" t="str">
        <f>+'Input Data'!I36</f>
        <v>Implant_LoE</v>
      </c>
      <c r="O33" s="157">
        <v>0.0791718903053875</v>
      </c>
      <c r="P33" s="395">
        <v>0.3619367629681628</v>
      </c>
      <c r="Q33" s="157">
        <v>0.08906805495534428</v>
      </c>
      <c r="R33" s="395">
        <v>0.3554721961360319</v>
      </c>
      <c r="S33" s="157">
        <v>0.08906805495534428</v>
      </c>
      <c r="T33" s="395">
        <v>0.34900930972158545</v>
      </c>
      <c r="U33" s="157">
        <v>0.0989667927110343</v>
      </c>
      <c r="V33" s="396">
        <v>0.30376742440277565</v>
      </c>
      <c r="W33" s="74"/>
      <c r="X33" s="12" t="str">
        <f>+'Input Data'!I36</f>
        <v>Implant_LoE</v>
      </c>
      <c r="Y33" s="37">
        <f t="shared" si="3"/>
        <v>0.2605598332533788</v>
      </c>
      <c r="Z33" s="7">
        <f t="shared" si="4"/>
        <v>1.1911573949224605</v>
      </c>
      <c r="AA33" s="37">
        <f t="shared" si="5"/>
        <v>0.2931287538777896</v>
      </c>
      <c r="AB33" s="38">
        <f t="shared" si="6"/>
        <v>1.1698820856007035</v>
      </c>
      <c r="AC33" s="7">
        <f t="shared" si="7"/>
        <v>0.2931287538777896</v>
      </c>
      <c r="AD33" s="7">
        <f t="shared" si="8"/>
        <v>1.1486123066426897</v>
      </c>
      <c r="AE33" s="37">
        <f t="shared" si="9"/>
        <v>0.325706142760293</v>
      </c>
      <c r="AF33" s="13">
        <f t="shared" si="10"/>
        <v>0.9997183235728501</v>
      </c>
      <c r="AH33" s="12" t="str">
        <f>+'Input Data'!I36</f>
        <v>Implant_LoE</v>
      </c>
      <c r="AI33" s="12">
        <f t="shared" si="11"/>
        <v>0.31668756122155</v>
      </c>
      <c r="AJ33" s="7">
        <f t="shared" si="12"/>
        <v>1.4477470518726512</v>
      </c>
      <c r="AK33" s="37">
        <f t="shared" si="13"/>
        <v>0.35627221982137713</v>
      </c>
      <c r="AL33" s="38">
        <f t="shared" si="14"/>
        <v>1.4218887845441277</v>
      </c>
      <c r="AM33" s="7">
        <f t="shared" si="15"/>
        <v>0.35627221982137713</v>
      </c>
      <c r="AN33" s="7">
        <f t="shared" si="16"/>
        <v>1.3960372388863418</v>
      </c>
      <c r="AO33" s="37">
        <f t="shared" si="17"/>
        <v>0.3958671708441372</v>
      </c>
      <c r="AP33" s="13">
        <f t="shared" si="18"/>
        <v>1.2150696976111026</v>
      </c>
      <c r="AT33" s="12" t="str">
        <f>+'Input Data'!I36</f>
        <v>Implant_LoE</v>
      </c>
      <c r="AU33" s="101">
        <f>+(O33+P33/2)*'Input Data'!$E$37</f>
        <v>39.021040768420335</v>
      </c>
      <c r="AV33" s="1">
        <f>+(Q33+R33/2)*'Input Data'!$E$37</f>
        <v>40.02062295350404</v>
      </c>
      <c r="AW33" s="97">
        <f>+(S33+T33/2)*'Input Data'!$E$37</f>
        <v>39.53590647242055</v>
      </c>
      <c r="AX33" s="23">
        <f>+(U33+V33/2)*'Input Data'!$E$37</f>
        <v>37.627575736863314</v>
      </c>
      <c r="BA33" s="12" t="str">
        <f>+'Input Data'!I36</f>
        <v>Implant_LoE</v>
      </c>
      <c r="BB33" s="31">
        <f>+('Input Data'!$C$37/'Input Data'!$B$37+'Input Data'!$D$37)*AU33</f>
        <v>2224.199323799959</v>
      </c>
      <c r="BC33" s="31">
        <f>+('Input Data'!$C$37/'Input Data'!$B$37+'Input Data'!$D$37)*AV33</f>
        <v>2281.17550834973</v>
      </c>
      <c r="BD33" s="31">
        <f>+('Input Data'!$C$37/'Input Data'!$B$37+'Input Data'!$D$37)*AW33</f>
        <v>2253.5466689279715</v>
      </c>
      <c r="BE33" s="31">
        <f>+('Input Data'!$C$37/'Input Data'!$B$37+'Input Data'!$D$37)*AX33</f>
        <v>2144.771817001209</v>
      </c>
      <c r="BF33" s="12">
        <f>+('Input Data'!$C$34/'Input Data'!$B$34+'Input Data'!$D$34)*'Input Data'!P36</f>
        <v>252000</v>
      </c>
      <c r="BG33" s="12">
        <f>+('Input Data'!$C$35/'Input Data'!$B$35+'Input Data'!$D$35)*'Input Data'!$Q36</f>
        <v>182400</v>
      </c>
      <c r="BI33" s="12" t="str">
        <f>+'Input Data'!I36</f>
        <v>Implant_LoE</v>
      </c>
      <c r="BJ33" s="31">
        <f t="shared" si="19"/>
        <v>7319.984437609907</v>
      </c>
      <c r="BK33" s="31">
        <f t="shared" si="20"/>
        <v>7507.496761598108</v>
      </c>
      <c r="BL33" s="31">
        <f t="shared" si="21"/>
        <v>7416.5684565526</v>
      </c>
      <c r="BM33" s="31">
        <f t="shared" si="22"/>
        <v>7058.583353874439</v>
      </c>
      <c r="BN33" s="75">
        <f t="shared" si="23"/>
        <v>829348.3675402827</v>
      </c>
      <c r="BO33" s="23">
        <f t="shared" si="24"/>
        <v>600290.2469815379</v>
      </c>
      <c r="BQ33" s="12" t="str">
        <f>+'Input Data'!I36</f>
        <v>Implant_LoE</v>
      </c>
      <c r="BR33" s="31">
        <f t="shared" si="25"/>
        <v>8896.797295199836</v>
      </c>
      <c r="BS33" s="31">
        <f t="shared" si="26"/>
        <v>9124.70203339892</v>
      </c>
      <c r="BT33" s="31">
        <f t="shared" si="27"/>
        <v>9014.186675711886</v>
      </c>
      <c r="BU33" s="31">
        <f t="shared" si="28"/>
        <v>8579.087268004836</v>
      </c>
      <c r="BV33" s="75">
        <f t="shared" si="29"/>
        <v>1008000</v>
      </c>
      <c r="BW33" s="23">
        <f t="shared" si="30"/>
        <v>729600</v>
      </c>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row>
    <row r="34" spans="5:138" ht="12.75">
      <c r="E34" s="12" t="str">
        <f>+'Input Data'!I37</f>
        <v>Insp_PLY</v>
      </c>
      <c r="F34" s="221">
        <v>24.595297275177085</v>
      </c>
      <c r="G34" s="34">
        <f t="shared" si="2"/>
        <v>25</v>
      </c>
      <c r="H34" s="1">
        <f>+('Input Data'!K37+'Input Data'!L37+'Input Data'!M37)*F34/'Input Data'!O37</f>
        <v>19.92219079289344</v>
      </c>
      <c r="I34" s="20">
        <f>+'Input Data'!N37*F34</f>
        <v>5.165012427787188</v>
      </c>
      <c r="J34" s="31">
        <f>+('Input Data'!K37+'Input Data'!L37+'Input Data'!M37)*G34/'Input Data'!O37</f>
        <v>20.25</v>
      </c>
      <c r="K34" s="13">
        <f>+'Input Data'!N37*G34</f>
        <v>5.25</v>
      </c>
      <c r="N34" s="12" t="str">
        <f>+'Input Data'!I37</f>
        <v>Insp_PLY</v>
      </c>
      <c r="O34" s="157">
        <v>0.03958594515269375</v>
      </c>
      <c r="P34" s="395">
        <v>0.30161396914013566</v>
      </c>
      <c r="Q34" s="157">
        <v>0.04453402747767214</v>
      </c>
      <c r="R34" s="395">
        <v>0.29622683011335993</v>
      </c>
      <c r="S34" s="157">
        <v>0.04453402747767214</v>
      </c>
      <c r="T34" s="395">
        <v>0.29084109143465453</v>
      </c>
      <c r="U34" s="157">
        <v>0.04948339635551715</v>
      </c>
      <c r="V34" s="396">
        <v>0.25313952033564635</v>
      </c>
      <c r="W34" s="74"/>
      <c r="X34" s="12" t="str">
        <f>+'Input Data'!I37</f>
        <v>Insp_PLY</v>
      </c>
      <c r="Y34" s="37">
        <f t="shared" si="3"/>
        <v>0.9736280889493582</v>
      </c>
      <c r="Z34" s="7">
        <f t="shared" si="4"/>
        <v>7.418285233347724</v>
      </c>
      <c r="AA34" s="37">
        <f t="shared" si="5"/>
        <v>1.095327644674251</v>
      </c>
      <c r="AB34" s="38">
        <f t="shared" si="6"/>
        <v>7.2857869475214665</v>
      </c>
      <c r="AC34" s="7">
        <f t="shared" si="7"/>
        <v>1.095327644674251</v>
      </c>
      <c r="AD34" s="7">
        <f t="shared" si="8"/>
        <v>7.153323103672288</v>
      </c>
      <c r="AE34" s="37">
        <f t="shared" si="9"/>
        <v>1.2170588435493586</v>
      </c>
      <c r="AF34" s="13">
        <f t="shared" si="10"/>
        <v>6.226041754750957</v>
      </c>
      <c r="AH34" s="12" t="str">
        <f>+'Input Data'!I37</f>
        <v>Insp_PLY</v>
      </c>
      <c r="AI34" s="12">
        <f t="shared" si="11"/>
        <v>0.9896486288173437</v>
      </c>
      <c r="AJ34" s="7">
        <f t="shared" si="12"/>
        <v>7.540349228503391</v>
      </c>
      <c r="AK34" s="37">
        <f t="shared" si="13"/>
        <v>1.1133506869418035</v>
      </c>
      <c r="AL34" s="38">
        <f t="shared" si="14"/>
        <v>7.4056707528339984</v>
      </c>
      <c r="AM34" s="7">
        <f t="shared" si="15"/>
        <v>1.1133506869418035</v>
      </c>
      <c r="AN34" s="7">
        <f t="shared" si="16"/>
        <v>7.271027285866364</v>
      </c>
      <c r="AO34" s="37">
        <f t="shared" si="17"/>
        <v>1.2370849088879288</v>
      </c>
      <c r="AP34" s="13">
        <f t="shared" si="18"/>
        <v>6.328488008391159</v>
      </c>
      <c r="AT34" s="12" t="str">
        <f>+'Input Data'!I37</f>
        <v>Insp_PLY</v>
      </c>
      <c r="AU34" s="101">
        <f>+(O34+P34/2)*'Input Data'!$E$37</f>
        <v>28.558939458414237</v>
      </c>
      <c r="AV34" s="1">
        <f>+(Q34+R34/2)*'Input Data'!$E$37</f>
        <v>28.897116380152816</v>
      </c>
      <c r="AW34" s="97">
        <f>+(S34+T34/2)*'Input Data'!$E$37</f>
        <v>28.493185979249912</v>
      </c>
      <c r="AX34" s="23">
        <f>+(U34+V34/2)*'Input Data'!$E$37</f>
        <v>26.40797347850105</v>
      </c>
      <c r="BA34" s="12" t="str">
        <f>+'Input Data'!I37</f>
        <v>Insp_PLY</v>
      </c>
      <c r="BB34" s="31">
        <f>+('Input Data'!$C$37/'Input Data'!$B$37+'Input Data'!$D$37)*AU34</f>
        <v>1627.8595491296114</v>
      </c>
      <c r="BC34" s="31">
        <f>+('Input Data'!$C$37/'Input Data'!$B$37+'Input Data'!$D$37)*AV34</f>
        <v>1647.1356336687106</v>
      </c>
      <c r="BD34" s="31">
        <f>+('Input Data'!$C$37/'Input Data'!$B$37+'Input Data'!$D$37)*AW34</f>
        <v>1624.111600817245</v>
      </c>
      <c r="BE34" s="31">
        <f>+('Input Data'!$C$37/'Input Data'!$B$37+'Input Data'!$D$37)*AX34</f>
        <v>1505.2544882745597</v>
      </c>
      <c r="BF34" s="12">
        <f>+('Input Data'!$C$34/'Input Data'!$B$34+'Input Data'!$D$34)*'Input Data'!P37</f>
        <v>37800</v>
      </c>
      <c r="BG34" s="12">
        <f>+('Input Data'!$C$35/'Input Data'!$B$35+'Input Data'!$D$35)*'Input Data'!$Q37</f>
        <v>27360</v>
      </c>
      <c r="BI34" s="12" t="str">
        <f>+'Input Data'!I37</f>
        <v>Insp_PLY</v>
      </c>
      <c r="BJ34" s="31">
        <f t="shared" si="19"/>
        <v>40037.689533078534</v>
      </c>
      <c r="BK34" s="31">
        <f t="shared" si="20"/>
        <v>40511.79056261912</v>
      </c>
      <c r="BL34" s="31">
        <f t="shared" si="21"/>
        <v>39945.507630163884</v>
      </c>
      <c r="BM34" s="31">
        <f t="shared" si="22"/>
        <v>37022.181613907356</v>
      </c>
      <c r="BN34" s="75">
        <f t="shared" si="23"/>
        <v>929702.2370016938</v>
      </c>
      <c r="BO34" s="23">
        <f t="shared" si="24"/>
        <v>672927.3334488451</v>
      </c>
      <c r="BQ34" s="12" t="str">
        <f>+'Input Data'!I37</f>
        <v>Insp_PLY</v>
      </c>
      <c r="BR34" s="31">
        <f t="shared" si="25"/>
        <v>40696.488728240285</v>
      </c>
      <c r="BS34" s="31">
        <f t="shared" si="26"/>
        <v>41178.390841717766</v>
      </c>
      <c r="BT34" s="31">
        <f t="shared" si="27"/>
        <v>40602.79002043113</v>
      </c>
      <c r="BU34" s="31">
        <f t="shared" si="28"/>
        <v>37631.36220686399</v>
      </c>
      <c r="BV34" s="75">
        <f t="shared" si="29"/>
        <v>945000</v>
      </c>
      <c r="BW34" s="23">
        <f t="shared" si="30"/>
        <v>684000</v>
      </c>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row>
    <row r="35" spans="5:138" ht="12.75">
      <c r="E35" s="12" t="str">
        <f>+'Input Data'!I38</f>
        <v>Insp_Visual</v>
      </c>
      <c r="F35" s="221">
        <v>0.9862748259023061</v>
      </c>
      <c r="G35" s="34">
        <f t="shared" si="2"/>
        <v>1</v>
      </c>
      <c r="H35" s="1">
        <f>+('Input Data'!K38+'Input Data'!L38+'Input Data'!M38)*F35/'Input Data'!O38</f>
        <v>0.1331471014968113</v>
      </c>
      <c r="I35" s="20">
        <f>+'Input Data'!N38*F35</f>
        <v>0.034519618906580715</v>
      </c>
      <c r="J35" s="31">
        <f>+('Input Data'!K38+'Input Data'!L38+'Input Data'!M38)*G35/'Input Data'!O38</f>
        <v>0.13499999999999998</v>
      </c>
      <c r="K35" s="13">
        <f>+'Input Data'!N38*G35</f>
        <v>0.035</v>
      </c>
      <c r="N35" s="12" t="str">
        <f>+'Input Data'!I38</f>
        <v>Insp_Visual</v>
      </c>
      <c r="O35" s="157">
        <v>0.03958594515269375</v>
      </c>
      <c r="P35" s="395">
        <v>0.6032279382802713</v>
      </c>
      <c r="Q35" s="157">
        <v>0.04453402747767214</v>
      </c>
      <c r="R35" s="395">
        <v>0.5924536602267199</v>
      </c>
      <c r="S35" s="157">
        <v>0.04453402747767214</v>
      </c>
      <c r="T35" s="395">
        <v>0.5816821828693091</v>
      </c>
      <c r="U35" s="157">
        <v>0.04948339635551715</v>
      </c>
      <c r="V35" s="396">
        <v>0.5062790406712927</v>
      </c>
      <c r="W35" s="74"/>
      <c r="X35" s="12" t="str">
        <f>+'Input Data'!I38</f>
        <v>Insp_Visual</v>
      </c>
      <c r="Y35" s="37">
        <f t="shared" si="3"/>
        <v>0.039042621163651266</v>
      </c>
      <c r="Z35" s="7">
        <f t="shared" si="4"/>
        <v>0.5949485298067816</v>
      </c>
      <c r="AA35" s="37">
        <f t="shared" si="5"/>
        <v>0.04392279019726961</v>
      </c>
      <c r="AB35" s="38">
        <f t="shared" si="6"/>
        <v>0.5843221305952921</v>
      </c>
      <c r="AC35" s="7">
        <f t="shared" si="7"/>
        <v>0.04392279019726961</v>
      </c>
      <c r="AD35" s="7">
        <f t="shared" si="8"/>
        <v>0.5736984936399012</v>
      </c>
      <c r="AE35" s="37">
        <f t="shared" si="9"/>
        <v>0.048804228125592486</v>
      </c>
      <c r="AF35" s="13">
        <f t="shared" si="10"/>
        <v>0.4993302726960657</v>
      </c>
      <c r="AH35" s="12" t="str">
        <f>+'Input Data'!I38</f>
        <v>Insp_Visual</v>
      </c>
      <c r="AI35" s="12">
        <f t="shared" si="11"/>
        <v>0.03958594515269375</v>
      </c>
      <c r="AJ35" s="7">
        <f t="shared" si="12"/>
        <v>0.6032279382802713</v>
      </c>
      <c r="AK35" s="37">
        <f t="shared" si="13"/>
        <v>0.04453402747767214</v>
      </c>
      <c r="AL35" s="38">
        <f t="shared" si="14"/>
        <v>0.5924536602267199</v>
      </c>
      <c r="AM35" s="7">
        <f t="shared" si="15"/>
        <v>0.04453402747767214</v>
      </c>
      <c r="AN35" s="7">
        <f t="shared" si="16"/>
        <v>0.5816821828693091</v>
      </c>
      <c r="AO35" s="37">
        <f t="shared" si="17"/>
        <v>0.04948339635551715</v>
      </c>
      <c r="AP35" s="13">
        <f t="shared" si="18"/>
        <v>0.5062790406712927</v>
      </c>
      <c r="AT35" s="12" t="str">
        <f>+'Input Data'!I38</f>
        <v>Insp_Visual</v>
      </c>
      <c r="AU35" s="101">
        <f>+(O35+P35/2)*'Input Data'!$E$37</f>
        <v>51.179987143924414</v>
      </c>
      <c r="AV35" s="1">
        <f>+(Q35+R35/2)*'Input Data'!$E$37</f>
        <v>51.11412863865481</v>
      </c>
      <c r="AW35" s="97">
        <f>+(S35+T35/2)*'Input Data'!$E$37</f>
        <v>50.306267836849</v>
      </c>
      <c r="AX35" s="23">
        <f>+(U35+V35/2)*'Input Data'!$E$37</f>
        <v>45.39343750367452</v>
      </c>
      <c r="BA35" s="12" t="str">
        <f>+'Input Data'!I38</f>
        <v>Insp_Visual</v>
      </c>
      <c r="BB35" s="31">
        <f>+('Input Data'!$C$37/'Input Data'!$B$37+'Input Data'!$D$37)*AU35</f>
        <v>2917.2592672036917</v>
      </c>
      <c r="BC35" s="31">
        <f>+('Input Data'!$C$37/'Input Data'!$B$37+'Input Data'!$D$37)*AV35</f>
        <v>2913.5053324033242</v>
      </c>
      <c r="BD35" s="31">
        <f>+('Input Data'!$C$37/'Input Data'!$B$37+'Input Data'!$D$37)*AW35</f>
        <v>2867.457266700393</v>
      </c>
      <c r="BE35" s="31">
        <f>+('Input Data'!$C$37/'Input Data'!$B$37+'Input Data'!$D$37)*AX35</f>
        <v>2587.4259377094477</v>
      </c>
      <c r="BF35" s="12">
        <f>+('Input Data'!$C$34/'Input Data'!$B$34+'Input Data'!$D$34)*'Input Data'!P38</f>
        <v>37800</v>
      </c>
      <c r="BG35" s="12">
        <f>+('Input Data'!$C$35/'Input Data'!$B$35+'Input Data'!$D$35)*'Input Data'!$Q38</f>
        <v>27360</v>
      </c>
      <c r="BI35" s="12" t="str">
        <f>+'Input Data'!I38</f>
        <v>Insp_Visual</v>
      </c>
      <c r="BJ35" s="31">
        <f t="shared" si="19"/>
        <v>2877.21937587321</v>
      </c>
      <c r="BK35" s="31">
        <f t="shared" si="20"/>
        <v>2873.516964481529</v>
      </c>
      <c r="BL35" s="31">
        <f t="shared" si="21"/>
        <v>2828.100916497233</v>
      </c>
      <c r="BM35" s="31">
        <f t="shared" si="22"/>
        <v>2551.9130662494968</v>
      </c>
      <c r="BN35" s="75">
        <f t="shared" si="23"/>
        <v>37281.18841910717</v>
      </c>
      <c r="BO35" s="23">
        <f t="shared" si="24"/>
        <v>26984.479236687093</v>
      </c>
      <c r="BQ35" s="12" t="str">
        <f>+'Input Data'!I38</f>
        <v>Insp_Visual</v>
      </c>
      <c r="BR35" s="31">
        <f t="shared" si="25"/>
        <v>2917.2592672036917</v>
      </c>
      <c r="BS35" s="31">
        <f t="shared" si="26"/>
        <v>2913.5053324033242</v>
      </c>
      <c r="BT35" s="31">
        <f t="shared" si="27"/>
        <v>2867.457266700393</v>
      </c>
      <c r="BU35" s="31">
        <f t="shared" si="28"/>
        <v>2587.4259377094477</v>
      </c>
      <c r="BV35" s="75">
        <f t="shared" si="29"/>
        <v>37800</v>
      </c>
      <c r="BW35" s="23">
        <f t="shared" si="30"/>
        <v>27360</v>
      </c>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row>
    <row r="36" spans="5:138" ht="12.75">
      <c r="E36" s="12" t="str">
        <f>+'Input Data'!I39</f>
        <v>Litho_248</v>
      </c>
      <c r="F36" s="221">
        <v>3.4511046399724674</v>
      </c>
      <c r="G36" s="34">
        <f t="shared" si="2"/>
        <v>4</v>
      </c>
      <c r="H36" s="1">
        <f>+('Input Data'!K39+'Input Data'!L39+'Input Data'!M39)*F36/'Input Data'!O39</f>
        <v>8.386184275133095</v>
      </c>
      <c r="I36" s="20">
        <f>+'Input Data'!N39*F36</f>
        <v>2.1741959231826544</v>
      </c>
      <c r="J36" s="31">
        <f>+('Input Data'!K39+'Input Data'!L39+'Input Data'!M39)*G36/'Input Data'!O39</f>
        <v>9.72</v>
      </c>
      <c r="K36" s="13">
        <f>+'Input Data'!N39*G36</f>
        <v>2.52</v>
      </c>
      <c r="N36" s="12" t="str">
        <f>+'Input Data'!I39</f>
        <v>Litho_248</v>
      </c>
      <c r="O36" s="157">
        <v>0.03958594515269375</v>
      </c>
      <c r="P36" s="395">
        <v>0.30161396914013566</v>
      </c>
      <c r="Q36" s="157">
        <v>0.04453402747767214</v>
      </c>
      <c r="R36" s="395">
        <v>0.29622683011335993</v>
      </c>
      <c r="S36" s="157">
        <v>0.04453402747767214</v>
      </c>
      <c r="T36" s="395">
        <v>0.29084109143465453</v>
      </c>
      <c r="U36" s="157">
        <v>0.04948339635551715</v>
      </c>
      <c r="V36" s="396">
        <v>0.25313952033564635</v>
      </c>
      <c r="W36" s="74"/>
      <c r="X36" s="12" t="str">
        <f>+'Input Data'!I39</f>
        <v>Litho_248</v>
      </c>
      <c r="Y36" s="37">
        <f t="shared" si="3"/>
        <v>0.136615238994157</v>
      </c>
      <c r="Z36" s="7">
        <f t="shared" si="4"/>
        <v>1.0409013683800348</v>
      </c>
      <c r="AA36" s="37">
        <f t="shared" si="5"/>
        <v>0.15369158886485568</v>
      </c>
      <c r="AB36" s="38">
        <f t="shared" si="6"/>
        <v>1.0223097878885523</v>
      </c>
      <c r="AC36" s="7">
        <f t="shared" si="7"/>
        <v>0.15369158886485568</v>
      </c>
      <c r="AD36" s="7">
        <f t="shared" si="8"/>
        <v>1.003723040144793</v>
      </c>
      <c r="AE36" s="37">
        <f t="shared" si="9"/>
        <v>0.1707723787641219</v>
      </c>
      <c r="AF36" s="13">
        <f t="shared" si="10"/>
        <v>0.8736109731907539</v>
      </c>
      <c r="AH36" s="12" t="str">
        <f>+'Input Data'!I39</f>
        <v>Litho_248</v>
      </c>
      <c r="AI36" s="12">
        <f t="shared" si="11"/>
        <v>0.158343780610775</v>
      </c>
      <c r="AJ36" s="7">
        <f t="shared" si="12"/>
        <v>1.2064558765605427</v>
      </c>
      <c r="AK36" s="37">
        <f t="shared" si="13"/>
        <v>0.17813610991068857</v>
      </c>
      <c r="AL36" s="38">
        <f t="shared" si="14"/>
        <v>1.1849073204534397</v>
      </c>
      <c r="AM36" s="7">
        <f t="shared" si="15"/>
        <v>0.17813610991068857</v>
      </c>
      <c r="AN36" s="7">
        <f t="shared" si="16"/>
        <v>1.1633643657386181</v>
      </c>
      <c r="AO36" s="37">
        <f t="shared" si="17"/>
        <v>0.1979335854220686</v>
      </c>
      <c r="AP36" s="13">
        <f t="shared" si="18"/>
        <v>1.0125580813425854</v>
      </c>
      <c r="AT36" s="12" t="str">
        <f>+'Input Data'!I39</f>
        <v>Litho_248</v>
      </c>
      <c r="AU36" s="101">
        <f>+(O36+P36/2)*'Input Data'!$E$37</f>
        <v>28.558939458414237</v>
      </c>
      <c r="AV36" s="1">
        <f>+(Q36+R36/2)*'Input Data'!$E$37</f>
        <v>28.897116380152816</v>
      </c>
      <c r="AW36" s="97">
        <f>+(S36+T36/2)*'Input Data'!$E$37</f>
        <v>28.493185979249912</v>
      </c>
      <c r="AX36" s="23">
        <f>+(U36+V36/2)*'Input Data'!$E$37</f>
        <v>26.40797347850105</v>
      </c>
      <c r="BA36" s="12" t="str">
        <f>+'Input Data'!I39</f>
        <v>Litho_248</v>
      </c>
      <c r="BB36" s="31">
        <f>+('Input Data'!$C$37/'Input Data'!$B$37+'Input Data'!$D$37)*AU36</f>
        <v>1627.8595491296114</v>
      </c>
      <c r="BC36" s="31">
        <f>+('Input Data'!$C$37/'Input Data'!$B$37+'Input Data'!$D$37)*AV36</f>
        <v>1647.1356336687106</v>
      </c>
      <c r="BD36" s="31">
        <f>+('Input Data'!$C$37/'Input Data'!$B$37+'Input Data'!$D$37)*AW36</f>
        <v>1624.111600817245</v>
      </c>
      <c r="BE36" s="31">
        <f>+('Input Data'!$C$37/'Input Data'!$B$37+'Input Data'!$D$37)*AX36</f>
        <v>1505.2544882745597</v>
      </c>
      <c r="BF36" s="12">
        <f>+('Input Data'!$C$34/'Input Data'!$B$34+'Input Data'!$D$34)*'Input Data'!P39</f>
        <v>157500</v>
      </c>
      <c r="BG36" s="12">
        <f>+('Input Data'!$C$35/'Input Data'!$B$35+'Input Data'!$D$35)*'Input Data'!$Q39</f>
        <v>114000</v>
      </c>
      <c r="BI36" s="12" t="str">
        <f>+'Input Data'!I39</f>
        <v>Litho_248</v>
      </c>
      <c r="BJ36" s="31">
        <f t="shared" si="19"/>
        <v>5617.9136432246905</v>
      </c>
      <c r="BK36" s="31">
        <f t="shared" si="20"/>
        <v>5684.437428018077</v>
      </c>
      <c r="BL36" s="31">
        <f t="shared" si="21"/>
        <v>5604.979081413506</v>
      </c>
      <c r="BM36" s="31">
        <f t="shared" si="22"/>
        <v>5194.790748823715</v>
      </c>
      <c r="BN36" s="75">
        <f t="shared" si="23"/>
        <v>543548.9807956637</v>
      </c>
      <c r="BO36" s="23">
        <f t="shared" si="24"/>
        <v>393425.92895686126</v>
      </c>
      <c r="BQ36" s="12" t="str">
        <f>+'Input Data'!I39</f>
        <v>Litho_248</v>
      </c>
      <c r="BR36" s="31">
        <f t="shared" si="25"/>
        <v>6511.438196518446</v>
      </c>
      <c r="BS36" s="31">
        <f t="shared" si="26"/>
        <v>6588.5425346748425</v>
      </c>
      <c r="BT36" s="31">
        <f t="shared" si="27"/>
        <v>6496.44640326898</v>
      </c>
      <c r="BU36" s="31">
        <f t="shared" si="28"/>
        <v>6021.017953098239</v>
      </c>
      <c r="BV36" s="75">
        <f t="shared" si="29"/>
        <v>630000</v>
      </c>
      <c r="BW36" s="23">
        <f t="shared" si="30"/>
        <v>456000</v>
      </c>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row>
    <row r="37" spans="5:138" ht="12.75">
      <c r="E37" s="12" t="str">
        <f>+'Input Data'!I40</f>
        <v>Litho_I</v>
      </c>
      <c r="F37" s="221">
        <v>10.017822020419386</v>
      </c>
      <c r="G37" s="34">
        <f t="shared" si="2"/>
        <v>11</v>
      </c>
      <c r="H37" s="1">
        <f>+('Input Data'!K40+'Input Data'!L40+'Input Data'!M40)*F37/'Input Data'!O40</f>
        <v>16.228871673079404</v>
      </c>
      <c r="I37" s="20">
        <f>+'Input Data'!N40*F37</f>
        <v>4.207485248576142</v>
      </c>
      <c r="J37" s="31">
        <f>+('Input Data'!K40+'Input Data'!L40+'Input Data'!M40)*G37/'Input Data'!O40</f>
        <v>17.82</v>
      </c>
      <c r="K37" s="13">
        <f>+'Input Data'!N40*G37</f>
        <v>4.62</v>
      </c>
      <c r="N37" s="12" t="str">
        <f>+'Input Data'!I40</f>
        <v>Litho_I</v>
      </c>
      <c r="O37" s="157">
        <v>0.03958594515269375</v>
      </c>
      <c r="P37" s="395">
        <v>0.30161396914013566</v>
      </c>
      <c r="Q37" s="157">
        <v>0.04453402747767214</v>
      </c>
      <c r="R37" s="395">
        <v>0.29622683011335993</v>
      </c>
      <c r="S37" s="157">
        <v>0.04453402747767214</v>
      </c>
      <c r="T37" s="395">
        <v>0.29084109143465453</v>
      </c>
      <c r="U37" s="157">
        <v>0.04948339635551715</v>
      </c>
      <c r="V37" s="396">
        <v>0.25313952033564635</v>
      </c>
      <c r="W37" s="74"/>
      <c r="X37" s="12" t="str">
        <f>+'Input Data'!I40</f>
        <v>Litho_I</v>
      </c>
      <c r="Y37" s="37">
        <f t="shared" si="3"/>
        <v>0.3965649530497695</v>
      </c>
      <c r="Z37" s="7">
        <f t="shared" si="4"/>
        <v>3.0215150617181443</v>
      </c>
      <c r="AA37" s="37">
        <f t="shared" si="5"/>
        <v>0.446133961123786</v>
      </c>
      <c r="AB37" s="38">
        <f t="shared" si="6"/>
        <v>2.9675476617486494</v>
      </c>
      <c r="AC37" s="7">
        <f t="shared" si="7"/>
        <v>0.446133961123786</v>
      </c>
      <c r="AD37" s="7">
        <f t="shared" si="8"/>
        <v>2.9135942902168903</v>
      </c>
      <c r="AE37" s="37">
        <f t="shared" si="9"/>
        <v>0.4957158576554401</v>
      </c>
      <c r="AF37" s="13">
        <f t="shared" si="10"/>
        <v>2.535906661056839</v>
      </c>
      <c r="AH37" s="12" t="str">
        <f>+'Input Data'!I40</f>
        <v>Litho_I</v>
      </c>
      <c r="AI37" s="12">
        <f t="shared" si="11"/>
        <v>0.4354453966796313</v>
      </c>
      <c r="AJ37" s="7">
        <f t="shared" si="12"/>
        <v>3.3177536605414923</v>
      </c>
      <c r="AK37" s="37">
        <f t="shared" si="13"/>
        <v>0.48987430225439355</v>
      </c>
      <c r="AL37" s="38">
        <f t="shared" si="14"/>
        <v>3.258495131246959</v>
      </c>
      <c r="AM37" s="7">
        <f t="shared" si="15"/>
        <v>0.48987430225439355</v>
      </c>
      <c r="AN37" s="7">
        <f t="shared" si="16"/>
        <v>3.1992520057812</v>
      </c>
      <c r="AO37" s="37">
        <f t="shared" si="17"/>
        <v>0.5443173599106886</v>
      </c>
      <c r="AP37" s="13">
        <f t="shared" si="18"/>
        <v>2.7845347236921096</v>
      </c>
      <c r="AT37" s="12" t="str">
        <f>+'Input Data'!I40</f>
        <v>Litho_I</v>
      </c>
      <c r="AU37" s="101">
        <f>+(O37+P37/2)*'Input Data'!$E$37</f>
        <v>28.558939458414237</v>
      </c>
      <c r="AV37" s="1">
        <f>+(Q37+R37/2)*'Input Data'!$E$37</f>
        <v>28.897116380152816</v>
      </c>
      <c r="AW37" s="97">
        <f>+(S37+T37/2)*'Input Data'!$E$37</f>
        <v>28.493185979249912</v>
      </c>
      <c r="AX37" s="23">
        <f>+(U37+V37/2)*'Input Data'!$E$37</f>
        <v>26.40797347850105</v>
      </c>
      <c r="BA37" s="12" t="str">
        <f>+'Input Data'!I40</f>
        <v>Litho_I</v>
      </c>
      <c r="BB37" s="31">
        <f>+('Input Data'!$C$37/'Input Data'!$B$37+'Input Data'!$D$37)*AU37</f>
        <v>1627.8595491296114</v>
      </c>
      <c r="BC37" s="31">
        <f>+('Input Data'!$C$37/'Input Data'!$B$37+'Input Data'!$D$37)*AV37</f>
        <v>1647.1356336687106</v>
      </c>
      <c r="BD37" s="31">
        <f>+('Input Data'!$C$37/'Input Data'!$B$37+'Input Data'!$D$37)*AW37</f>
        <v>1624.111600817245</v>
      </c>
      <c r="BE37" s="31">
        <f>+('Input Data'!$C$37/'Input Data'!$B$37+'Input Data'!$D$37)*AX37</f>
        <v>1505.2544882745597</v>
      </c>
      <c r="BF37" s="12">
        <f>+('Input Data'!$C$34/'Input Data'!$B$34+'Input Data'!$D$34)*'Input Data'!P40</f>
        <v>126000</v>
      </c>
      <c r="BG37" s="12">
        <f>+('Input Data'!$C$35/'Input Data'!$B$35+'Input Data'!$D$35)*'Input Data'!$Q40</f>
        <v>91200</v>
      </c>
      <c r="BI37" s="12" t="str">
        <f>+'Input Data'!I40</f>
        <v>Litho_I</v>
      </c>
      <c r="BJ37" s="31">
        <f t="shared" si="19"/>
        <v>16307.607237420594</v>
      </c>
      <c r="BK37" s="31">
        <f t="shared" si="20"/>
        <v>16500.711621583847</v>
      </c>
      <c r="BL37" s="31">
        <f t="shared" si="21"/>
        <v>16270.060958285578</v>
      </c>
      <c r="BM37" s="31">
        <f t="shared" si="22"/>
        <v>15079.371558971998</v>
      </c>
      <c r="BN37" s="75">
        <f t="shared" si="23"/>
        <v>1262245.5745728426</v>
      </c>
      <c r="BO37" s="23">
        <f t="shared" si="24"/>
        <v>913625.368262248</v>
      </c>
      <c r="BQ37" s="12" t="str">
        <f>+'Input Data'!I40</f>
        <v>Litho_I</v>
      </c>
      <c r="BR37" s="31">
        <f t="shared" si="25"/>
        <v>17906.455040425724</v>
      </c>
      <c r="BS37" s="31">
        <f t="shared" si="26"/>
        <v>18118.491970355815</v>
      </c>
      <c r="BT37" s="31">
        <f t="shared" si="27"/>
        <v>17865.227608989695</v>
      </c>
      <c r="BU37" s="31">
        <f t="shared" si="28"/>
        <v>16557.799371020155</v>
      </c>
      <c r="BV37" s="75">
        <f t="shared" si="29"/>
        <v>1386000</v>
      </c>
      <c r="BW37" s="23">
        <f t="shared" si="30"/>
        <v>1003200</v>
      </c>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row>
    <row r="38" spans="5:138" ht="12.75">
      <c r="E38" s="12" t="str">
        <f>+'Input Data'!I41</f>
        <v>Litho_Iw</v>
      </c>
      <c r="F38" s="221">
        <v>10.743201101973133</v>
      </c>
      <c r="G38" s="34">
        <f t="shared" si="2"/>
        <v>11</v>
      </c>
      <c r="H38" s="1">
        <f>+('Input Data'!K41+'Input Data'!L41+'Input Data'!M41)*F38/'Input Data'!O41</f>
        <v>14.50332148766373</v>
      </c>
      <c r="I38" s="20">
        <f>+'Input Data'!N41*F38</f>
        <v>3.7601203856905965</v>
      </c>
      <c r="J38" s="31">
        <f>+('Input Data'!K41+'Input Data'!L41+'Input Data'!M41)*G38/'Input Data'!O41</f>
        <v>14.85</v>
      </c>
      <c r="K38" s="13">
        <f>+'Input Data'!N41*G38</f>
        <v>3.8499999999999996</v>
      </c>
      <c r="N38" s="12" t="str">
        <f>+'Input Data'!I41</f>
        <v>Litho_Iw</v>
      </c>
      <c r="O38" s="157">
        <v>0.03958594515269375</v>
      </c>
      <c r="P38" s="395">
        <v>0.30161396914013566</v>
      </c>
      <c r="Q38" s="157">
        <v>0.04453402747767214</v>
      </c>
      <c r="R38" s="395">
        <v>0.29622683011335993</v>
      </c>
      <c r="S38" s="157">
        <v>0.04453402747767214</v>
      </c>
      <c r="T38" s="395">
        <v>0.29084109143465453</v>
      </c>
      <c r="U38" s="157">
        <v>0.04948339635551715</v>
      </c>
      <c r="V38" s="396">
        <v>0.25313952033564635</v>
      </c>
      <c r="W38" s="74"/>
      <c r="X38" s="12" t="str">
        <f>+'Input Data'!I41</f>
        <v>Litho_Iw</v>
      </c>
      <c r="Y38" s="37">
        <f t="shared" si="3"/>
        <v>0.42527976958706754</v>
      </c>
      <c r="Z38" s="7">
        <f t="shared" si="4"/>
        <v>3.240299525636796</v>
      </c>
      <c r="AA38" s="37">
        <f t="shared" si="5"/>
        <v>0.47843801307342915</v>
      </c>
      <c r="AB38" s="38">
        <f t="shared" si="6"/>
        <v>3.1824244077078565</v>
      </c>
      <c r="AC38" s="7">
        <f t="shared" si="7"/>
        <v>0.47843801307342915</v>
      </c>
      <c r="AD38" s="7">
        <f t="shared" si="8"/>
        <v>3.1245643339998495</v>
      </c>
      <c r="AE38" s="37">
        <f t="shared" si="9"/>
        <v>0.5316100782559652</v>
      </c>
      <c r="AF38" s="13">
        <f t="shared" si="10"/>
        <v>2.719528773822866</v>
      </c>
      <c r="AH38" s="12" t="str">
        <f>+'Input Data'!I41</f>
        <v>Litho_Iw</v>
      </c>
      <c r="AI38" s="12">
        <f t="shared" si="11"/>
        <v>0.4354453966796313</v>
      </c>
      <c r="AJ38" s="7">
        <f t="shared" si="12"/>
        <v>3.3177536605414923</v>
      </c>
      <c r="AK38" s="37">
        <f t="shared" si="13"/>
        <v>0.48987430225439355</v>
      </c>
      <c r="AL38" s="38">
        <f t="shared" si="14"/>
        <v>3.258495131246959</v>
      </c>
      <c r="AM38" s="7">
        <f t="shared" si="15"/>
        <v>0.48987430225439355</v>
      </c>
      <c r="AN38" s="7">
        <f t="shared" si="16"/>
        <v>3.1992520057812</v>
      </c>
      <c r="AO38" s="37">
        <f t="shared" si="17"/>
        <v>0.5443173599106886</v>
      </c>
      <c r="AP38" s="13">
        <f t="shared" si="18"/>
        <v>2.7845347236921096</v>
      </c>
      <c r="AT38" s="12" t="str">
        <f>+'Input Data'!I41</f>
        <v>Litho_Iw</v>
      </c>
      <c r="AU38" s="101">
        <f>+(O38+P38/2)*'Input Data'!$E$37</f>
        <v>28.558939458414237</v>
      </c>
      <c r="AV38" s="1">
        <f>+(Q38+R38/2)*'Input Data'!$E$37</f>
        <v>28.897116380152816</v>
      </c>
      <c r="AW38" s="97">
        <f>+(S38+T38/2)*'Input Data'!$E$37</f>
        <v>28.493185979249912</v>
      </c>
      <c r="AX38" s="23">
        <f>+(U38+V38/2)*'Input Data'!$E$37</f>
        <v>26.40797347850105</v>
      </c>
      <c r="BA38" s="12" t="str">
        <f>+'Input Data'!I41</f>
        <v>Litho_Iw</v>
      </c>
      <c r="BB38" s="31">
        <f>+('Input Data'!$C$37/'Input Data'!$B$37+'Input Data'!$D$37)*AU38</f>
        <v>1627.8595491296114</v>
      </c>
      <c r="BC38" s="31">
        <f>+('Input Data'!$C$37/'Input Data'!$B$37+'Input Data'!$D$37)*AV38</f>
        <v>1647.1356336687106</v>
      </c>
      <c r="BD38" s="31">
        <f>+('Input Data'!$C$37/'Input Data'!$B$37+'Input Data'!$D$37)*AW38</f>
        <v>1624.111600817245</v>
      </c>
      <c r="BE38" s="31">
        <f>+('Input Data'!$C$37/'Input Data'!$B$37+'Input Data'!$D$37)*AX38</f>
        <v>1505.2544882745597</v>
      </c>
      <c r="BF38" s="12">
        <f>+('Input Data'!$C$34/'Input Data'!$B$34+'Input Data'!$D$34)*'Input Data'!P41</f>
        <v>126000</v>
      </c>
      <c r="BG38" s="12">
        <f>+('Input Data'!$C$35/'Input Data'!$B$35+'Input Data'!$D$35)*'Input Data'!$Q41</f>
        <v>91200</v>
      </c>
      <c r="BI38" s="12" t="str">
        <f>+'Input Data'!I41</f>
        <v>Litho_Iw</v>
      </c>
      <c r="BJ38" s="31">
        <f t="shared" si="19"/>
        <v>17488.42250206673</v>
      </c>
      <c r="BK38" s="31">
        <f t="shared" si="20"/>
        <v>17695.509354728907</v>
      </c>
      <c r="BL38" s="31">
        <f t="shared" si="21"/>
        <v>17448.157539627176</v>
      </c>
      <c r="BM38" s="31">
        <f t="shared" si="22"/>
        <v>16171.251677181253</v>
      </c>
      <c r="BN38" s="75">
        <f t="shared" si="23"/>
        <v>1353643.3388486148</v>
      </c>
      <c r="BO38" s="23">
        <f t="shared" si="24"/>
        <v>979779.9404999497</v>
      </c>
      <c r="BQ38" s="12" t="str">
        <f>+'Input Data'!I41</f>
        <v>Litho_Iw</v>
      </c>
      <c r="BR38" s="31">
        <f t="shared" si="25"/>
        <v>17906.455040425724</v>
      </c>
      <c r="BS38" s="31">
        <f t="shared" si="26"/>
        <v>18118.491970355815</v>
      </c>
      <c r="BT38" s="31">
        <f t="shared" si="27"/>
        <v>17865.227608989695</v>
      </c>
      <c r="BU38" s="31">
        <f t="shared" si="28"/>
        <v>16557.799371020155</v>
      </c>
      <c r="BV38" s="75">
        <f t="shared" si="29"/>
        <v>1386000</v>
      </c>
      <c r="BW38" s="23">
        <f t="shared" si="30"/>
        <v>1003200</v>
      </c>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row>
    <row r="39" spans="5:138" ht="12.75">
      <c r="E39" s="12" t="str">
        <f>+'Input Data'!I42</f>
        <v>Meas_CD</v>
      </c>
      <c r="F39" s="221">
        <v>14.723395151193854</v>
      </c>
      <c r="G39" s="34">
        <f t="shared" si="2"/>
        <v>15</v>
      </c>
      <c r="H39" s="1">
        <f>+('Input Data'!K42+'Input Data'!L42+'Input Data'!M42)*F39/'Input Data'!O42</f>
        <v>5.9629750362335106</v>
      </c>
      <c r="I39" s="20">
        <f>+'Input Data'!N42*F39</f>
        <v>1.5459564908753547</v>
      </c>
      <c r="J39" s="31">
        <f>+('Input Data'!K42+'Input Data'!L42+'Input Data'!M42)*G39/'Input Data'!O42</f>
        <v>6.075</v>
      </c>
      <c r="K39" s="13">
        <f>+'Input Data'!N42*G39</f>
        <v>1.575</v>
      </c>
      <c r="N39" s="12" t="str">
        <f>+'Input Data'!I42</f>
        <v>Meas_CD</v>
      </c>
      <c r="O39" s="157">
        <v>0.03958594515269375</v>
      </c>
      <c r="P39" s="395">
        <v>0.1809683814840814</v>
      </c>
      <c r="Q39" s="157">
        <v>0.04453402747767214</v>
      </c>
      <c r="R39" s="395">
        <v>0.17773609806801596</v>
      </c>
      <c r="S39" s="157">
        <v>0.04453402747767214</v>
      </c>
      <c r="T39" s="395">
        <v>0.17450465486079272</v>
      </c>
      <c r="U39" s="157">
        <v>0.04948339635551715</v>
      </c>
      <c r="V39" s="396">
        <v>0.15188371220138783</v>
      </c>
      <c r="W39" s="74"/>
      <c r="X39" s="12" t="str">
        <f>+'Input Data'!I42</f>
        <v>Meas_CD</v>
      </c>
      <c r="Y39" s="37">
        <f t="shared" si="3"/>
        <v>0.582839512916597</v>
      </c>
      <c r="Z39" s="7">
        <f t="shared" si="4"/>
        <v>2.6644689904621237</v>
      </c>
      <c r="AA39" s="37">
        <f t="shared" si="5"/>
        <v>0.6556920842278918</v>
      </c>
      <c r="AB39" s="38">
        <f t="shared" si="6"/>
        <v>2.6168788044867415</v>
      </c>
      <c r="AC39" s="7">
        <f t="shared" si="7"/>
        <v>0.6556920842278918</v>
      </c>
      <c r="AD39" s="7">
        <f t="shared" si="8"/>
        <v>2.5693009892381524</v>
      </c>
      <c r="AE39" s="37">
        <f t="shared" si="9"/>
        <v>0.7285635979654248</v>
      </c>
      <c r="AF39" s="13">
        <f t="shared" si="10"/>
        <v>2.2362439117712363</v>
      </c>
      <c r="AH39" s="12" t="str">
        <f>+'Input Data'!I42</f>
        <v>Meas_CD</v>
      </c>
      <c r="AI39" s="12">
        <f t="shared" si="11"/>
        <v>0.5937891772904063</v>
      </c>
      <c r="AJ39" s="7">
        <f t="shared" si="12"/>
        <v>2.714525722261221</v>
      </c>
      <c r="AK39" s="37">
        <f t="shared" si="13"/>
        <v>0.6680104121650822</v>
      </c>
      <c r="AL39" s="38">
        <f t="shared" si="14"/>
        <v>2.6660414710202396</v>
      </c>
      <c r="AM39" s="7">
        <f t="shared" si="15"/>
        <v>0.6680104121650822</v>
      </c>
      <c r="AN39" s="7">
        <f t="shared" si="16"/>
        <v>2.6175698229118907</v>
      </c>
      <c r="AO39" s="37">
        <f t="shared" si="17"/>
        <v>0.7422509453327573</v>
      </c>
      <c r="AP39" s="13">
        <f t="shared" si="18"/>
        <v>2.2782556830208174</v>
      </c>
      <c r="AT39" s="12" t="str">
        <f>+'Input Data'!I42</f>
        <v>Meas_CD</v>
      </c>
      <c r="AU39" s="101">
        <f>+(O39+P39/2)*'Input Data'!$E$37</f>
        <v>19.510520384210167</v>
      </c>
      <c r="AV39" s="1">
        <f>+(Q39+R39/2)*'Input Data'!$E$37</f>
        <v>20.01031147675202</v>
      </c>
      <c r="AW39" s="97">
        <f>+(S39+T39/2)*'Input Data'!$E$37</f>
        <v>19.767953236210275</v>
      </c>
      <c r="AX39" s="23">
        <f>+(U39+V39/2)*'Input Data'!$E$37</f>
        <v>18.813787868431657</v>
      </c>
      <c r="BA39" s="12" t="str">
        <f>+'Input Data'!I42</f>
        <v>Meas_CD</v>
      </c>
      <c r="BB39" s="31">
        <f>+('Input Data'!$C$37/'Input Data'!$B$37+'Input Data'!$D$37)*AU39</f>
        <v>1112.0996618999795</v>
      </c>
      <c r="BC39" s="31">
        <f>+('Input Data'!$C$37/'Input Data'!$B$37+'Input Data'!$D$37)*AV39</f>
        <v>1140.587754174865</v>
      </c>
      <c r="BD39" s="31">
        <f>+('Input Data'!$C$37/'Input Data'!$B$37+'Input Data'!$D$37)*AW39</f>
        <v>1126.7733344639857</v>
      </c>
      <c r="BE39" s="31">
        <f>+('Input Data'!$C$37/'Input Data'!$B$37+'Input Data'!$D$37)*AX39</f>
        <v>1072.3859085006045</v>
      </c>
      <c r="BF39" s="12">
        <f>+('Input Data'!$C$34/'Input Data'!$B$34+'Input Data'!$D$34)*'Input Data'!P42</f>
        <v>37800</v>
      </c>
      <c r="BG39" s="12">
        <f>+('Input Data'!$C$35/'Input Data'!$B$35+'Input Data'!$D$35)*'Input Data'!$Q42</f>
        <v>27360</v>
      </c>
      <c r="BI39" s="12" t="str">
        <f>+'Input Data'!I42</f>
        <v>Meas_CD</v>
      </c>
      <c r="BJ39" s="31">
        <f t="shared" si="19"/>
        <v>16373.882769662483</v>
      </c>
      <c r="BK39" s="31">
        <f t="shared" si="20"/>
        <v>16793.324209329294</v>
      </c>
      <c r="BL39" s="31">
        <f t="shared" si="21"/>
        <v>16589.929049141578</v>
      </c>
      <c r="BM39" s="31">
        <f t="shared" si="22"/>
        <v>15789.161485426415</v>
      </c>
      <c r="BN39" s="75">
        <f t="shared" si="23"/>
        <v>556544.3367151277</v>
      </c>
      <c r="BO39" s="23">
        <f t="shared" si="24"/>
        <v>402832.09133666387</v>
      </c>
      <c r="BQ39" s="12" t="str">
        <f>+'Input Data'!I42</f>
        <v>Meas_CD</v>
      </c>
      <c r="BR39" s="31">
        <f t="shared" si="25"/>
        <v>16681.494928499695</v>
      </c>
      <c r="BS39" s="31">
        <f t="shared" si="26"/>
        <v>17108.816312622977</v>
      </c>
      <c r="BT39" s="31">
        <f t="shared" si="27"/>
        <v>16901.600016959786</v>
      </c>
      <c r="BU39" s="31">
        <f t="shared" si="28"/>
        <v>16085.788627509068</v>
      </c>
      <c r="BV39" s="75">
        <f t="shared" si="29"/>
        <v>567000</v>
      </c>
      <c r="BW39" s="23">
        <f t="shared" si="30"/>
        <v>410400</v>
      </c>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row>
    <row r="40" spans="5:138" ht="12.75">
      <c r="E40" s="12" t="str">
        <f>+'Input Data'!I43</f>
        <v>Meas_Film</v>
      </c>
      <c r="F40" s="221">
        <v>11.814519883061728</v>
      </c>
      <c r="G40" s="34">
        <f t="shared" si="2"/>
        <v>12</v>
      </c>
      <c r="H40" s="1">
        <f>+('Input Data'!K43+'Input Data'!L43+'Input Data'!M43)*F40/'Input Data'!O43</f>
        <v>2.2329442578986667</v>
      </c>
      <c r="I40" s="20">
        <f>+'Input Data'!N43*F40</f>
        <v>0.5789114742700247</v>
      </c>
      <c r="J40" s="31">
        <f>+('Input Data'!K43+'Input Data'!L43+'Input Data'!M43)*G40/'Input Data'!O43</f>
        <v>2.268</v>
      </c>
      <c r="K40" s="13">
        <f>+'Input Data'!N43*G40</f>
        <v>0.5880000000000001</v>
      </c>
      <c r="N40" s="12" t="str">
        <f>+'Input Data'!I43</f>
        <v>Meas_Film</v>
      </c>
      <c r="O40" s="157">
        <v>0.03958594515269375</v>
      </c>
      <c r="P40" s="395">
        <v>0.1809683814840814</v>
      </c>
      <c r="Q40" s="157">
        <v>0.04453402747767214</v>
      </c>
      <c r="R40" s="395">
        <v>0.17773609806801596</v>
      </c>
      <c r="S40" s="157">
        <v>0.04453402747767214</v>
      </c>
      <c r="T40" s="395">
        <v>0.17450465486079272</v>
      </c>
      <c r="U40" s="157">
        <v>0.04948339635551715</v>
      </c>
      <c r="V40" s="396">
        <v>0.15188371220138783</v>
      </c>
      <c r="W40" s="74"/>
      <c r="X40" s="12" t="str">
        <f>+'Input Data'!I43</f>
        <v>Meas_Film</v>
      </c>
      <c r="Y40" s="37">
        <f t="shared" si="3"/>
        <v>0.4676889360962913</v>
      </c>
      <c r="Z40" s="7">
        <f t="shared" si="4"/>
        <v>2.1380545412491796</v>
      </c>
      <c r="AA40" s="37">
        <f t="shared" si="5"/>
        <v>0.5261481531077749</v>
      </c>
      <c r="AB40" s="38">
        <f t="shared" si="6"/>
        <v>2.099866664562384</v>
      </c>
      <c r="AC40" s="7">
        <f t="shared" si="7"/>
        <v>0.5261481531077749</v>
      </c>
      <c r="AD40" s="7">
        <f t="shared" si="8"/>
        <v>2.06168871453966</v>
      </c>
      <c r="AE40" s="37">
        <f t="shared" si="9"/>
        <v>0.5846225701236816</v>
      </c>
      <c r="AF40" s="13">
        <f t="shared" si="10"/>
        <v>1.7944331377165217</v>
      </c>
      <c r="AH40" s="12" t="str">
        <f>+'Input Data'!I43</f>
        <v>Meas_Film</v>
      </c>
      <c r="AI40" s="12">
        <f t="shared" si="11"/>
        <v>0.475031341832325</v>
      </c>
      <c r="AJ40" s="7">
        <f t="shared" si="12"/>
        <v>2.1716205778089765</v>
      </c>
      <c r="AK40" s="37">
        <f t="shared" si="13"/>
        <v>0.5344083297320656</v>
      </c>
      <c r="AL40" s="38">
        <f t="shared" si="14"/>
        <v>2.1328331768161917</v>
      </c>
      <c r="AM40" s="7">
        <f t="shared" si="15"/>
        <v>0.5344083297320656</v>
      </c>
      <c r="AN40" s="7">
        <f t="shared" si="16"/>
        <v>2.094055858329513</v>
      </c>
      <c r="AO40" s="37">
        <f t="shared" si="17"/>
        <v>0.5938007562662058</v>
      </c>
      <c r="AP40" s="13">
        <f t="shared" si="18"/>
        <v>1.8226045464166538</v>
      </c>
      <c r="AT40" s="12" t="str">
        <f>+'Input Data'!I43</f>
        <v>Meas_Film</v>
      </c>
      <c r="AU40" s="101">
        <f>+(O40+P40/2)*'Input Data'!$E$37</f>
        <v>19.510520384210167</v>
      </c>
      <c r="AV40" s="1">
        <f>+(Q40+R40/2)*'Input Data'!$E$37</f>
        <v>20.01031147675202</v>
      </c>
      <c r="AW40" s="97">
        <f>+(S40+T40/2)*'Input Data'!$E$37</f>
        <v>19.767953236210275</v>
      </c>
      <c r="AX40" s="23">
        <f>+(U40+V40/2)*'Input Data'!$E$37</f>
        <v>18.813787868431657</v>
      </c>
      <c r="BA40" s="12" t="str">
        <f>+'Input Data'!I43</f>
        <v>Meas_Film</v>
      </c>
      <c r="BB40" s="31">
        <f>+('Input Data'!$C$37/'Input Data'!$B$37+'Input Data'!$D$37)*AU40</f>
        <v>1112.0996618999795</v>
      </c>
      <c r="BC40" s="31">
        <f>+('Input Data'!$C$37/'Input Data'!$B$37+'Input Data'!$D$37)*AV40</f>
        <v>1140.587754174865</v>
      </c>
      <c r="BD40" s="31">
        <f>+('Input Data'!$C$37/'Input Data'!$B$37+'Input Data'!$D$37)*AW40</f>
        <v>1126.7733344639857</v>
      </c>
      <c r="BE40" s="31">
        <f>+('Input Data'!$C$37/'Input Data'!$B$37+'Input Data'!$D$37)*AX40</f>
        <v>1072.3859085006045</v>
      </c>
      <c r="BF40" s="12">
        <f>+('Input Data'!$C$34/'Input Data'!$B$34+'Input Data'!$D$34)*'Input Data'!P43</f>
        <v>37800</v>
      </c>
      <c r="BG40" s="12">
        <f>+('Input Data'!$C$35/'Input Data'!$B$35+'Input Data'!$D$35)*'Input Data'!$Q43</f>
        <v>27360</v>
      </c>
      <c r="BI40" s="12" t="str">
        <f>+'Input Data'!I43</f>
        <v>Meas_Film</v>
      </c>
      <c r="BJ40" s="31">
        <f t="shared" si="19"/>
        <v>13138.923567463533</v>
      </c>
      <c r="BK40" s="31">
        <f t="shared" si="20"/>
        <v>13475.496700075664</v>
      </c>
      <c r="BL40" s="31">
        <f t="shared" si="21"/>
        <v>13312.285963728522</v>
      </c>
      <c r="BM40" s="31">
        <f t="shared" si="22"/>
        <v>12669.724638295605</v>
      </c>
      <c r="BN40" s="75">
        <f t="shared" si="23"/>
        <v>446588.8515797333</v>
      </c>
      <c r="BO40" s="23">
        <f t="shared" si="24"/>
        <v>323245.2640005689</v>
      </c>
      <c r="BQ40" s="12" t="str">
        <f>+'Input Data'!I43</f>
        <v>Meas_Film</v>
      </c>
      <c r="BR40" s="31">
        <f t="shared" si="25"/>
        <v>13345.195942799754</v>
      </c>
      <c r="BS40" s="31">
        <f t="shared" si="26"/>
        <v>13687.05305009838</v>
      </c>
      <c r="BT40" s="31">
        <f t="shared" si="27"/>
        <v>13521.28001356783</v>
      </c>
      <c r="BU40" s="31">
        <f t="shared" si="28"/>
        <v>12868.630902007255</v>
      </c>
      <c r="BV40" s="75">
        <f t="shared" si="29"/>
        <v>453600</v>
      </c>
      <c r="BW40" s="23">
        <f t="shared" si="30"/>
        <v>328320</v>
      </c>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row>
    <row r="41" spans="5:138" ht="12.75">
      <c r="E41" s="12" t="str">
        <f>+'Input Data'!I44</f>
        <v>Meas_Overlay</v>
      </c>
      <c r="F41" s="221">
        <v>10.307971208631438</v>
      </c>
      <c r="G41" s="34">
        <f t="shared" si="2"/>
        <v>11</v>
      </c>
      <c r="H41" s="1">
        <f>+('Input Data'!K44+'Input Data'!L44+'Input Data'!M44)*F41/'Input Data'!O44</f>
        <v>2.783152226330488</v>
      </c>
      <c r="I41" s="20">
        <f>+'Input Data'!N44*F41</f>
        <v>0.7215579846042007</v>
      </c>
      <c r="J41" s="31">
        <f>+('Input Data'!K44+'Input Data'!L44+'Input Data'!M44)*G41/'Input Data'!O44</f>
        <v>2.9699999999999998</v>
      </c>
      <c r="K41" s="13">
        <f>+'Input Data'!N44*G41</f>
        <v>0.77</v>
      </c>
      <c r="N41" s="12" t="str">
        <f>+'Input Data'!I44</f>
        <v>Meas_Overlay</v>
      </c>
      <c r="O41" s="157">
        <v>0.03958594515269375</v>
      </c>
      <c r="P41" s="395">
        <v>0.1809683814840814</v>
      </c>
      <c r="Q41" s="157">
        <v>0.04453402747767214</v>
      </c>
      <c r="R41" s="395">
        <v>0.17773609806801596</v>
      </c>
      <c r="S41" s="157">
        <v>0.04453402747767214</v>
      </c>
      <c r="T41" s="395">
        <v>0.17450465486079272</v>
      </c>
      <c r="U41" s="157">
        <v>0.04948339635551715</v>
      </c>
      <c r="V41" s="396">
        <v>0.15188371220138783</v>
      </c>
      <c r="W41" s="74"/>
      <c r="X41" s="12" t="str">
        <f>+'Input Data'!I44</f>
        <v>Meas_Overlay</v>
      </c>
      <c r="Y41" s="37">
        <f t="shared" si="3"/>
        <v>0.4080507829004304</v>
      </c>
      <c r="Z41" s="7">
        <f t="shared" si="4"/>
        <v>1.8654168660105417</v>
      </c>
      <c r="AA41" s="37">
        <f t="shared" si="5"/>
        <v>0.45905547304424577</v>
      </c>
      <c r="AB41" s="38">
        <f t="shared" si="6"/>
        <v>1.8320985816196023</v>
      </c>
      <c r="AC41" s="7">
        <f t="shared" si="7"/>
        <v>0.45905547304424577</v>
      </c>
      <c r="AD41" s="7">
        <f t="shared" si="8"/>
        <v>1.7987889580772174</v>
      </c>
      <c r="AE41" s="37">
        <f t="shared" si="9"/>
        <v>0.5100734249379686</v>
      </c>
      <c r="AF41" s="13">
        <f t="shared" si="10"/>
        <v>1.5656129324319692</v>
      </c>
      <c r="AH41" s="12" t="str">
        <f>+'Input Data'!I44</f>
        <v>Meas_Overlay</v>
      </c>
      <c r="AI41" s="12">
        <f t="shared" si="11"/>
        <v>0.4354453966796313</v>
      </c>
      <c r="AJ41" s="7">
        <f t="shared" si="12"/>
        <v>1.9906521963248953</v>
      </c>
      <c r="AK41" s="37">
        <f t="shared" si="13"/>
        <v>0.48987430225439355</v>
      </c>
      <c r="AL41" s="38">
        <f t="shared" si="14"/>
        <v>1.9550970787481756</v>
      </c>
      <c r="AM41" s="7">
        <f t="shared" si="15"/>
        <v>0.48987430225439355</v>
      </c>
      <c r="AN41" s="7">
        <f t="shared" si="16"/>
        <v>1.9195512034687199</v>
      </c>
      <c r="AO41" s="37">
        <f t="shared" si="17"/>
        <v>0.5443173599106886</v>
      </c>
      <c r="AP41" s="13">
        <f t="shared" si="18"/>
        <v>1.6707208342152662</v>
      </c>
      <c r="AT41" s="12" t="str">
        <f>+'Input Data'!I44</f>
        <v>Meas_Overlay</v>
      </c>
      <c r="AU41" s="101">
        <f>+(O41+P41/2)*'Input Data'!$E$37</f>
        <v>19.510520384210167</v>
      </c>
      <c r="AV41" s="1">
        <f>+(Q41+R41/2)*'Input Data'!$E$37</f>
        <v>20.01031147675202</v>
      </c>
      <c r="AW41" s="97">
        <f>+(S41+T41/2)*'Input Data'!$E$37</f>
        <v>19.767953236210275</v>
      </c>
      <c r="AX41" s="23">
        <f>+(U41+V41/2)*'Input Data'!$E$37</f>
        <v>18.813787868431657</v>
      </c>
      <c r="BA41" s="12" t="str">
        <f>+'Input Data'!I44</f>
        <v>Meas_Overlay</v>
      </c>
      <c r="BB41" s="31">
        <f>+('Input Data'!$C$37/'Input Data'!$B$37+'Input Data'!$D$37)*AU41</f>
        <v>1112.0996618999795</v>
      </c>
      <c r="BC41" s="31">
        <f>+('Input Data'!$C$37/'Input Data'!$B$37+'Input Data'!$D$37)*AV41</f>
        <v>1140.587754174865</v>
      </c>
      <c r="BD41" s="31">
        <f>+('Input Data'!$C$37/'Input Data'!$B$37+'Input Data'!$D$37)*AW41</f>
        <v>1126.7733344639857</v>
      </c>
      <c r="BE41" s="31">
        <f>+('Input Data'!$C$37/'Input Data'!$B$37+'Input Data'!$D$37)*AX41</f>
        <v>1072.3859085006045</v>
      </c>
      <c r="BF41" s="12">
        <f>+('Input Data'!$C$34/'Input Data'!$B$34+'Input Data'!$D$34)*'Input Data'!P44</f>
        <v>37800</v>
      </c>
      <c r="BG41" s="12">
        <f>+('Input Data'!$C$35/'Input Data'!$B$35+'Input Data'!$D$35)*'Input Data'!$Q44</f>
        <v>27360</v>
      </c>
      <c r="BI41" s="12" t="str">
        <f>+'Input Data'!I44</f>
        <v>Meas_Overlay</v>
      </c>
      <c r="BJ41" s="31">
        <f t="shared" si="19"/>
        <v>11463.491295993745</v>
      </c>
      <c r="BK41" s="31">
        <f t="shared" si="20"/>
        <v>11757.145730952101</v>
      </c>
      <c r="BL41" s="31">
        <f t="shared" si="21"/>
        <v>11614.747090308407</v>
      </c>
      <c r="BM41" s="31">
        <f t="shared" si="22"/>
        <v>11054.123069366298</v>
      </c>
      <c r="BN41" s="75">
        <f t="shared" si="23"/>
        <v>389641.31168626837</v>
      </c>
      <c r="BO41" s="23">
        <f t="shared" si="24"/>
        <v>282026.0922681561</v>
      </c>
      <c r="BQ41" s="12" t="str">
        <f>+'Input Data'!I44</f>
        <v>Meas_Overlay</v>
      </c>
      <c r="BR41" s="31">
        <f t="shared" si="25"/>
        <v>12233.096280899776</v>
      </c>
      <c r="BS41" s="31">
        <f t="shared" si="26"/>
        <v>12546.465295923515</v>
      </c>
      <c r="BT41" s="31">
        <f t="shared" si="27"/>
        <v>12394.506679103843</v>
      </c>
      <c r="BU41" s="31">
        <f t="shared" si="28"/>
        <v>11796.244993506649</v>
      </c>
      <c r="BV41" s="75">
        <f t="shared" si="29"/>
        <v>415800</v>
      </c>
      <c r="BW41" s="23">
        <f t="shared" si="30"/>
        <v>300960</v>
      </c>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row>
    <row r="42" spans="5:138" ht="12.75">
      <c r="E42" s="12" t="str">
        <f>+'Input Data'!I45</f>
        <v>PVD_Met</v>
      </c>
      <c r="F42" s="221">
        <v>1.12607868055671</v>
      </c>
      <c r="G42" s="34">
        <f t="shared" si="2"/>
        <v>2</v>
      </c>
      <c r="H42" s="1">
        <f>+('Input Data'!K45+'Input Data'!L45+'Input Data'!M45)*F42/'Input Data'!O45</f>
        <v>1.2161649750012467</v>
      </c>
      <c r="I42" s="20">
        <f>+'Input Data'!N45*F42</f>
        <v>0.31530203055587885</v>
      </c>
      <c r="J42" s="31">
        <f>+('Input Data'!K45+'Input Data'!L45+'Input Data'!M45)*G42/'Input Data'!O45</f>
        <v>2.1599999999999997</v>
      </c>
      <c r="K42" s="13">
        <f>+'Input Data'!N45*G42</f>
        <v>0.56</v>
      </c>
      <c r="N42" s="12" t="str">
        <f>+'Input Data'!I45</f>
        <v>PVD_Met</v>
      </c>
      <c r="O42" s="157">
        <v>0.019792972576346875</v>
      </c>
      <c r="P42" s="395">
        <v>0.30161396914013566</v>
      </c>
      <c r="Q42" s="157">
        <v>0.02226701373883607</v>
      </c>
      <c r="R42" s="395">
        <v>0.29622683011335993</v>
      </c>
      <c r="S42" s="157">
        <v>0.02226701373883607</v>
      </c>
      <c r="T42" s="395">
        <v>0.29084109143465453</v>
      </c>
      <c r="U42" s="157">
        <v>0.024741698177758575</v>
      </c>
      <c r="V42" s="396">
        <v>0.25313952033564635</v>
      </c>
      <c r="W42" s="74"/>
      <c r="X42" s="12" t="str">
        <f>+'Input Data'!I45</f>
        <v>PVD_Met</v>
      </c>
      <c r="Y42" s="37">
        <f t="shared" si="3"/>
        <v>0.022288444443067833</v>
      </c>
      <c r="Z42" s="7">
        <f t="shared" si="4"/>
        <v>0.3396410604067962</v>
      </c>
      <c r="AA42" s="37">
        <f t="shared" si="5"/>
        <v>0.025074409450966655</v>
      </c>
      <c r="AB42" s="38">
        <f t="shared" si="6"/>
        <v>0.333574717999549</v>
      </c>
      <c r="AC42" s="7">
        <f t="shared" si="7"/>
        <v>0.025074409450966655</v>
      </c>
      <c r="AD42" s="7">
        <f t="shared" si="8"/>
        <v>0.32750995249440923</v>
      </c>
      <c r="AE42" s="37">
        <f t="shared" si="9"/>
        <v>0.027861098838742732</v>
      </c>
      <c r="AF42" s="13">
        <f t="shared" si="10"/>
        <v>0.2850550170563231</v>
      </c>
      <c r="AH42" s="12" t="str">
        <f>+'Input Data'!I45</f>
        <v>PVD_Met</v>
      </c>
      <c r="AI42" s="12">
        <f t="shared" si="11"/>
        <v>0.03958594515269375</v>
      </c>
      <c r="AJ42" s="7">
        <f t="shared" si="12"/>
        <v>0.6032279382802713</v>
      </c>
      <c r="AK42" s="37">
        <f t="shared" si="13"/>
        <v>0.04453402747767214</v>
      </c>
      <c r="AL42" s="38">
        <f t="shared" si="14"/>
        <v>0.5924536602267199</v>
      </c>
      <c r="AM42" s="7">
        <f t="shared" si="15"/>
        <v>0.04453402747767214</v>
      </c>
      <c r="AN42" s="7">
        <f t="shared" si="16"/>
        <v>0.5816821828693091</v>
      </c>
      <c r="AO42" s="37">
        <f t="shared" si="17"/>
        <v>0.04948339635551715</v>
      </c>
      <c r="AP42" s="13">
        <f t="shared" si="18"/>
        <v>0.5062790406712927</v>
      </c>
      <c r="AT42" s="12" t="str">
        <f>+'Input Data'!I45</f>
        <v>PVD_Met</v>
      </c>
      <c r="AU42" s="101">
        <f>+(O42+P42/2)*'Input Data'!$E$37</f>
        <v>25.589993571962207</v>
      </c>
      <c r="AV42" s="1">
        <f>+(Q42+R42/2)*'Input Data'!$E$37</f>
        <v>25.557064319327406</v>
      </c>
      <c r="AW42" s="97">
        <f>+(S42+T42/2)*'Input Data'!$E$37</f>
        <v>25.1531339184245</v>
      </c>
      <c r="AX42" s="23">
        <f>+(U42+V42/2)*'Input Data'!$E$37</f>
        <v>22.69671875183726</v>
      </c>
      <c r="BA42" s="12" t="str">
        <f>+'Input Data'!I45</f>
        <v>PVD_Met</v>
      </c>
      <c r="BB42" s="31">
        <f>+('Input Data'!$C$37/'Input Data'!$B$37+'Input Data'!$D$37)*AU42</f>
        <v>1458.6296336018459</v>
      </c>
      <c r="BC42" s="31">
        <f>+('Input Data'!$C$37/'Input Data'!$B$37+'Input Data'!$D$37)*AV42</f>
        <v>1456.7526662016621</v>
      </c>
      <c r="BD42" s="31">
        <f>+('Input Data'!$C$37/'Input Data'!$B$37+'Input Data'!$D$37)*AW42</f>
        <v>1433.7286333501966</v>
      </c>
      <c r="BE42" s="31">
        <f>+('Input Data'!$C$37/'Input Data'!$B$37+'Input Data'!$D$37)*AX42</f>
        <v>1293.7129688547238</v>
      </c>
      <c r="BF42" s="12">
        <f>+('Input Data'!$C$34/'Input Data'!$B$34+'Input Data'!$D$34)*'Input Data'!P45</f>
        <v>157500</v>
      </c>
      <c r="BG42" s="12">
        <f>+('Input Data'!$C$35/'Input Data'!$B$35+'Input Data'!$D$35)*'Input Data'!$Q45</f>
        <v>114000</v>
      </c>
      <c r="BI42" s="12" t="str">
        <f>+'Input Data'!I45</f>
        <v>PVD_Met</v>
      </c>
      <c r="BJ42" s="31">
        <f t="shared" si="19"/>
        <v>1642.531733227284</v>
      </c>
      <c r="BK42" s="31">
        <f t="shared" si="20"/>
        <v>1640.418120253837</v>
      </c>
      <c r="BL42" s="31">
        <f t="shared" si="21"/>
        <v>1614.4912477193643</v>
      </c>
      <c r="BM42" s="31">
        <f t="shared" si="22"/>
        <v>1456.8225929870314</v>
      </c>
      <c r="BN42" s="75">
        <f t="shared" si="23"/>
        <v>177357.39218768183</v>
      </c>
      <c r="BO42" s="23">
        <f t="shared" si="24"/>
        <v>128372.96958346495</v>
      </c>
      <c r="BQ42" s="12" t="str">
        <f>+'Input Data'!I45</f>
        <v>PVD_Met</v>
      </c>
      <c r="BR42" s="31">
        <f t="shared" si="25"/>
        <v>2917.2592672036917</v>
      </c>
      <c r="BS42" s="31">
        <f t="shared" si="26"/>
        <v>2913.5053324033242</v>
      </c>
      <c r="BT42" s="31">
        <f t="shared" si="27"/>
        <v>2867.457266700393</v>
      </c>
      <c r="BU42" s="31">
        <f t="shared" si="28"/>
        <v>2587.4259377094477</v>
      </c>
      <c r="BV42" s="75">
        <f t="shared" si="29"/>
        <v>315000</v>
      </c>
      <c r="BW42" s="23">
        <f t="shared" si="30"/>
        <v>228000</v>
      </c>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row>
    <row r="43" spans="5:138" ht="12.75">
      <c r="E43" s="12" t="str">
        <f>+'Input Data'!I46</f>
        <v>PVD_Met(C) </v>
      </c>
      <c r="F43" s="221">
        <v>8.390589090890096</v>
      </c>
      <c r="G43" s="34">
        <f t="shared" si="2"/>
        <v>9</v>
      </c>
      <c r="H43" s="1">
        <f>+('Input Data'!K46+'Input Data'!L46+'Input Data'!M46)*F43/'Input Data'!O46</f>
        <v>9.061836218161302</v>
      </c>
      <c r="I43" s="20">
        <f>+'Input Data'!N46*F43</f>
        <v>2.349364945449227</v>
      </c>
      <c r="J43" s="31">
        <f>+('Input Data'!K46+'Input Data'!L46+'Input Data'!M46)*G43/'Input Data'!O46</f>
        <v>9.719999999999999</v>
      </c>
      <c r="K43" s="13">
        <f>+'Input Data'!N46*G43</f>
        <v>2.5200000000000005</v>
      </c>
      <c r="N43" s="12" t="str">
        <f>+'Input Data'!I46</f>
        <v>PVD_Met(C) </v>
      </c>
      <c r="O43" s="157">
        <v>0.019792972576346875</v>
      </c>
      <c r="P43" s="395">
        <v>0.30161396914013566</v>
      </c>
      <c r="Q43" s="157">
        <v>0.02226701373883607</v>
      </c>
      <c r="R43" s="395">
        <v>0.29622683011335993</v>
      </c>
      <c r="S43" s="157">
        <v>0.02226701373883607</v>
      </c>
      <c r="T43" s="395">
        <v>0.29084109143465453</v>
      </c>
      <c r="U43" s="157">
        <v>0.024741698177758575</v>
      </c>
      <c r="V43" s="396">
        <v>0.25313952033564635</v>
      </c>
      <c r="W43" s="74"/>
      <c r="X43" s="12" t="str">
        <f>+'Input Data'!I46</f>
        <v>PVD_Met(C) </v>
      </c>
      <c r="Y43" s="37">
        <f t="shared" si="3"/>
        <v>0.16607469977538292</v>
      </c>
      <c r="Z43" s="7">
        <f t="shared" si="4"/>
        <v>2.530718879127284</v>
      </c>
      <c r="AA43" s="37">
        <f t="shared" si="5"/>
        <v>0.18683336256377783</v>
      </c>
      <c r="AB43" s="38">
        <f t="shared" si="6"/>
        <v>2.4855176091781117</v>
      </c>
      <c r="AC43" s="7">
        <f t="shared" si="7"/>
        <v>0.18683336256377783</v>
      </c>
      <c r="AD43" s="7">
        <f t="shared" si="8"/>
        <v>2.440328088974181</v>
      </c>
      <c r="AE43" s="37">
        <f t="shared" si="9"/>
        <v>0.20759742282039645</v>
      </c>
      <c r="AF43" s="13">
        <f t="shared" si="10"/>
        <v>2.123989697801426</v>
      </c>
      <c r="AH43" s="12" t="str">
        <f>+'Input Data'!I46</f>
        <v>PVD_Met(C) </v>
      </c>
      <c r="AI43" s="12">
        <f t="shared" si="11"/>
        <v>0.17813675318712188</v>
      </c>
      <c r="AJ43" s="7">
        <f t="shared" si="12"/>
        <v>2.714525722261221</v>
      </c>
      <c r="AK43" s="37">
        <f t="shared" si="13"/>
        <v>0.20040312364952464</v>
      </c>
      <c r="AL43" s="38">
        <f t="shared" si="14"/>
        <v>2.6660414710202396</v>
      </c>
      <c r="AM43" s="7">
        <f t="shared" si="15"/>
        <v>0.20040312364952464</v>
      </c>
      <c r="AN43" s="7">
        <f t="shared" si="16"/>
        <v>2.6175698229118907</v>
      </c>
      <c r="AO43" s="37">
        <f t="shared" si="17"/>
        <v>0.22267528359982716</v>
      </c>
      <c r="AP43" s="13">
        <f t="shared" si="18"/>
        <v>2.2782556830208174</v>
      </c>
      <c r="AT43" s="12" t="str">
        <f>+'Input Data'!I46</f>
        <v>PVD_Met(C) </v>
      </c>
      <c r="AU43" s="101">
        <f>+(O43+P43/2)*'Input Data'!$E$37</f>
        <v>25.589993571962207</v>
      </c>
      <c r="AV43" s="1">
        <f>+(Q43+R43/2)*'Input Data'!$E$37</f>
        <v>25.557064319327406</v>
      </c>
      <c r="AW43" s="97">
        <f>+(S43+T43/2)*'Input Data'!$E$37</f>
        <v>25.1531339184245</v>
      </c>
      <c r="AX43" s="23">
        <f>+(U43+V43/2)*'Input Data'!$E$37</f>
        <v>22.69671875183726</v>
      </c>
      <c r="BA43" s="12" t="str">
        <f>+'Input Data'!I46</f>
        <v>PVD_Met(C) </v>
      </c>
      <c r="BB43" s="31">
        <f>+('Input Data'!$C$37/'Input Data'!$B$37+'Input Data'!$D$37)*AU43</f>
        <v>1458.6296336018459</v>
      </c>
      <c r="BC43" s="31">
        <f>+('Input Data'!$C$37/'Input Data'!$B$37+'Input Data'!$D$37)*AV43</f>
        <v>1456.7526662016621</v>
      </c>
      <c r="BD43" s="31">
        <f>+('Input Data'!$C$37/'Input Data'!$B$37+'Input Data'!$D$37)*AW43</f>
        <v>1433.7286333501966</v>
      </c>
      <c r="BE43" s="31">
        <f>+('Input Data'!$C$37/'Input Data'!$B$37+'Input Data'!$D$37)*AX43</f>
        <v>1293.7129688547238</v>
      </c>
      <c r="BF43" s="12">
        <f>+('Input Data'!$C$34/'Input Data'!$B$34+'Input Data'!$D$34)*'Input Data'!P46</f>
        <v>157500</v>
      </c>
      <c r="BG43" s="12">
        <f>+('Input Data'!$C$35/'Input Data'!$B$35+'Input Data'!$D$35)*'Input Data'!$Q46</f>
        <v>114000</v>
      </c>
      <c r="BI43" s="12" t="str">
        <f>+'Input Data'!I46</f>
        <v>PVD_Met(C) </v>
      </c>
      <c r="BJ43" s="31">
        <f t="shared" si="19"/>
        <v>12238.761891348666</v>
      </c>
      <c r="BK43" s="31">
        <f t="shared" si="20"/>
        <v>12223.013029156727</v>
      </c>
      <c r="BL43" s="31">
        <f t="shared" si="21"/>
        <v>12029.827830284925</v>
      </c>
      <c r="BM43" s="31">
        <f t="shared" si="22"/>
        <v>10855.013923215483</v>
      </c>
      <c r="BN43" s="75">
        <f t="shared" si="23"/>
        <v>1321517.78181519</v>
      </c>
      <c r="BO43" s="23">
        <f t="shared" si="24"/>
        <v>956527.1563614709</v>
      </c>
      <c r="BQ43" s="12" t="str">
        <f>+'Input Data'!I46</f>
        <v>PVD_Met(C) </v>
      </c>
      <c r="BR43" s="31">
        <f t="shared" si="25"/>
        <v>13127.666702416613</v>
      </c>
      <c r="BS43" s="31">
        <f t="shared" si="26"/>
        <v>13110.77399581496</v>
      </c>
      <c r="BT43" s="31">
        <f t="shared" si="27"/>
        <v>12903.557700151769</v>
      </c>
      <c r="BU43" s="31">
        <f t="shared" si="28"/>
        <v>11643.416719692515</v>
      </c>
      <c r="BV43" s="75">
        <f t="shared" si="29"/>
        <v>1417500</v>
      </c>
      <c r="BW43" s="23">
        <f t="shared" si="30"/>
        <v>1026000</v>
      </c>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row>
    <row r="44" spans="5:138" ht="12.75">
      <c r="E44" s="12" t="str">
        <f>+'Input Data'!I47</f>
        <v>RTP_OxAn(C) </v>
      </c>
      <c r="F44" s="221">
        <v>2.417587991126689</v>
      </c>
      <c r="G44" s="34">
        <f t="shared" si="2"/>
        <v>3</v>
      </c>
      <c r="H44" s="1">
        <f>+('Input Data'!K47+'Input Data'!L47+'Input Data'!M47)*F44/'Input Data'!O47</f>
        <v>0.9791231364063089</v>
      </c>
      <c r="I44" s="20">
        <f>+'Input Data'!N47*F44</f>
        <v>0.2538467390683023</v>
      </c>
      <c r="J44" s="31">
        <f>+('Input Data'!K47+'Input Data'!L47+'Input Data'!M47)*G44/'Input Data'!O47</f>
        <v>1.2149999999999999</v>
      </c>
      <c r="K44" s="13">
        <f>+'Input Data'!N47*G44</f>
        <v>0.315</v>
      </c>
      <c r="N44" s="12" t="str">
        <f>+'Input Data'!I47</f>
        <v>RTP_OxAn(C) </v>
      </c>
      <c r="O44" s="157">
        <v>0.019792972576346875</v>
      </c>
      <c r="P44" s="395">
        <v>0.12064558765605429</v>
      </c>
      <c r="Q44" s="157">
        <v>0.02226701373883607</v>
      </c>
      <c r="R44" s="395">
        <v>0.118490732045344</v>
      </c>
      <c r="S44" s="157">
        <v>0.02226701373883607</v>
      </c>
      <c r="T44" s="395">
        <v>0.11633643657386183</v>
      </c>
      <c r="U44" s="157">
        <v>0.024741698177758575</v>
      </c>
      <c r="V44" s="396">
        <v>0.10125580813425857</v>
      </c>
      <c r="W44" s="74"/>
      <c r="X44" s="12" t="str">
        <f>+'Input Data'!I47</f>
        <v>RTP_OxAn(C) </v>
      </c>
      <c r="Y44" s="37">
        <f t="shared" si="3"/>
        <v>0.04785125280927609</v>
      </c>
      <c r="Z44" s="7">
        <f t="shared" si="4"/>
        <v>0.29167132389969913</v>
      </c>
      <c r="AA44" s="37">
        <f t="shared" si="5"/>
        <v>0.05383246501326308</v>
      </c>
      <c r="AB44" s="38">
        <f t="shared" si="6"/>
        <v>0.28646177085263397</v>
      </c>
      <c r="AC44" s="7">
        <f t="shared" si="7"/>
        <v>0.05383246501326308</v>
      </c>
      <c r="AD44" s="7">
        <f t="shared" si="8"/>
        <v>0.2812535719914401</v>
      </c>
      <c r="AE44" s="37">
        <f t="shared" si="9"/>
        <v>0.05981523239463021</v>
      </c>
      <c r="AF44" s="13">
        <f t="shared" si="10"/>
        <v>0.2447948257772116</v>
      </c>
      <c r="AH44" s="12" t="str">
        <f>+'Input Data'!I47</f>
        <v>RTP_OxAn(C) </v>
      </c>
      <c r="AI44" s="12">
        <f t="shared" si="11"/>
        <v>0.05937891772904062</v>
      </c>
      <c r="AJ44" s="7">
        <f t="shared" si="12"/>
        <v>0.3619367629681629</v>
      </c>
      <c r="AK44" s="37">
        <f t="shared" si="13"/>
        <v>0.0668010412165082</v>
      </c>
      <c r="AL44" s="38">
        <f t="shared" si="14"/>
        <v>0.355472196136032</v>
      </c>
      <c r="AM44" s="7">
        <f t="shared" si="15"/>
        <v>0.0668010412165082</v>
      </c>
      <c r="AN44" s="7">
        <f t="shared" si="16"/>
        <v>0.3490093097215855</v>
      </c>
      <c r="AO44" s="37">
        <f t="shared" si="17"/>
        <v>0.07422509453327572</v>
      </c>
      <c r="AP44" s="13">
        <f t="shared" si="18"/>
        <v>0.3037674244027757</v>
      </c>
      <c r="AT44" s="12" t="str">
        <f>+'Input Data'!I47</f>
        <v>RTP_OxAn(C) </v>
      </c>
      <c r="AU44" s="101">
        <f>+(O44+P44/2)*'Input Data'!$E$37</f>
        <v>12.017364960656105</v>
      </c>
      <c r="AV44" s="1">
        <f>+(Q44+R44/2)*'Input Data'!$E$37</f>
        <v>12.226856964226211</v>
      </c>
      <c r="AW44" s="97">
        <f>+(S44+T44/2)*'Input Data'!$E$37</f>
        <v>12.06528480386505</v>
      </c>
      <c r="AX44" s="23">
        <f>+(U44+V44/2)*'Input Data'!$E$37</f>
        <v>11.305440336733177</v>
      </c>
      <c r="BA44" s="12" t="str">
        <f>+'Input Data'!I47</f>
        <v>RTP_OxAn(C) </v>
      </c>
      <c r="BB44" s="31">
        <f>+('Input Data'!$C$37/'Input Data'!$B$37+'Input Data'!$D$37)*AU44</f>
        <v>684.9898027573979</v>
      </c>
      <c r="BC44" s="31">
        <f>+('Input Data'!$C$37/'Input Data'!$B$37+'Input Data'!$D$37)*AV44</f>
        <v>696.9308469608941</v>
      </c>
      <c r="BD44" s="31">
        <f>+('Input Data'!$C$37/'Input Data'!$B$37+'Input Data'!$D$37)*AW44</f>
        <v>687.7212338203078</v>
      </c>
      <c r="BE44" s="31">
        <f>+('Input Data'!$C$37/'Input Data'!$B$37+'Input Data'!$D$37)*AX44</f>
        <v>644.4100991937911</v>
      </c>
      <c r="BF44" s="12">
        <f>+('Input Data'!$C$34/'Input Data'!$B$34+'Input Data'!$D$34)*'Input Data'!P47</f>
        <v>126000</v>
      </c>
      <c r="BG44" s="12">
        <f>+('Input Data'!$C$35/'Input Data'!$B$35+'Input Data'!$D$35)*'Input Data'!$Q47</f>
        <v>91200</v>
      </c>
      <c r="BI44" s="12" t="str">
        <f>+'Input Data'!I47</f>
        <v>RTP_OxAn(C) </v>
      </c>
      <c r="BJ44" s="31">
        <f t="shared" si="19"/>
        <v>1656.0231211905245</v>
      </c>
      <c r="BK44" s="31">
        <f t="shared" si="20"/>
        <v>1684.8916462584098</v>
      </c>
      <c r="BL44" s="31">
        <f t="shared" si="21"/>
        <v>1662.626596126806</v>
      </c>
      <c r="BM44" s="31">
        <f t="shared" si="22"/>
        <v>1557.9181171716677</v>
      </c>
      <c r="BN44" s="75">
        <f t="shared" si="23"/>
        <v>304616.0868819628</v>
      </c>
      <c r="BO44" s="23">
        <f t="shared" si="24"/>
        <v>220484.02479075402</v>
      </c>
      <c r="BQ44" s="12" t="str">
        <f>+'Input Data'!I47</f>
        <v>RTP_OxAn(C) </v>
      </c>
      <c r="BR44" s="31">
        <f t="shared" si="25"/>
        <v>2054.9694082721935</v>
      </c>
      <c r="BS44" s="31">
        <f t="shared" si="26"/>
        <v>2090.7925408826823</v>
      </c>
      <c r="BT44" s="31">
        <f t="shared" si="27"/>
        <v>2063.163701460923</v>
      </c>
      <c r="BU44" s="31">
        <f t="shared" si="28"/>
        <v>1933.2302975813732</v>
      </c>
      <c r="BV44" s="75">
        <f t="shared" si="29"/>
        <v>378000</v>
      </c>
      <c r="BW44" s="23">
        <f t="shared" si="30"/>
        <v>273600</v>
      </c>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row>
    <row r="45" spans="5:138" ht="12.75">
      <c r="E45" s="12" t="str">
        <f>+'Input Data'!I48</f>
        <v>Test</v>
      </c>
      <c r="F45" s="221">
        <v>21.031937387838806</v>
      </c>
      <c r="G45" s="34">
        <f t="shared" si="2"/>
        <v>22</v>
      </c>
      <c r="H45" s="1">
        <f>+('Input Data'!K48+'Input Data'!L48+'Input Data'!M48)*F45/'Input Data'!O48</f>
        <v>5.678623094716476</v>
      </c>
      <c r="I45" s="20">
        <f>+'Input Data'!N48*F45</f>
        <v>1.4722356171487165</v>
      </c>
      <c r="J45" s="31">
        <f>+('Input Data'!K48+'Input Data'!L48+'Input Data'!M48)*G45/'Input Data'!O48</f>
        <v>5.9399999999999995</v>
      </c>
      <c r="K45" s="13">
        <f>+'Input Data'!N48*G45</f>
        <v>1.54</v>
      </c>
      <c r="N45" s="12" t="str">
        <f>+'Input Data'!I48</f>
        <v>Test</v>
      </c>
      <c r="O45" s="157">
        <v>0.09896486288173437</v>
      </c>
      <c r="P45" s="395">
        <v>0.12064558765605429</v>
      </c>
      <c r="Q45" s="157">
        <v>0.11133506869418035</v>
      </c>
      <c r="R45" s="395">
        <v>0.118490732045344</v>
      </c>
      <c r="S45" s="157">
        <v>0.11133506869418035</v>
      </c>
      <c r="T45" s="395">
        <v>0.11633643657386183</v>
      </c>
      <c r="U45" s="157">
        <v>0.12370849088879286</v>
      </c>
      <c r="V45" s="396">
        <v>0.10125580813425857</v>
      </c>
      <c r="W45" s="74"/>
      <c r="X45" s="12" t="str">
        <f>+'Input Data'!I48</f>
        <v>Test</v>
      </c>
      <c r="Y45" s="37">
        <f t="shared" si="3"/>
        <v>2.08142279972469</v>
      </c>
      <c r="Z45" s="7">
        <f t="shared" si="4"/>
        <v>2.5374104457011524</v>
      </c>
      <c r="AA45" s="37">
        <f t="shared" si="5"/>
        <v>2.3415921938467332</v>
      </c>
      <c r="AB45" s="38">
        <f t="shared" si="6"/>
        <v>2.49208965741686</v>
      </c>
      <c r="AC45" s="7">
        <f t="shared" si="7"/>
        <v>2.3415921938467332</v>
      </c>
      <c r="AD45" s="7">
        <f t="shared" si="8"/>
        <v>2.4467806499457425</v>
      </c>
      <c r="AE45" s="37">
        <f t="shared" si="9"/>
        <v>2.601829234717119</v>
      </c>
      <c r="AF45" s="13">
        <f t="shared" si="10"/>
        <v>2.1296058168347454</v>
      </c>
      <c r="AH45" s="12" t="str">
        <f>+'Input Data'!I48</f>
        <v>Test</v>
      </c>
      <c r="AI45" s="12">
        <f t="shared" si="11"/>
        <v>2.177226983398156</v>
      </c>
      <c r="AJ45" s="7">
        <f t="shared" si="12"/>
        <v>2.6542029284331945</v>
      </c>
      <c r="AK45" s="37">
        <f t="shared" si="13"/>
        <v>2.4493715112719676</v>
      </c>
      <c r="AL45" s="38">
        <f t="shared" si="14"/>
        <v>2.606796104997568</v>
      </c>
      <c r="AM45" s="7">
        <f t="shared" si="15"/>
        <v>2.4493715112719676</v>
      </c>
      <c r="AN45" s="7">
        <f t="shared" si="16"/>
        <v>2.55940160462496</v>
      </c>
      <c r="AO45" s="37">
        <f t="shared" si="17"/>
        <v>2.721586799553443</v>
      </c>
      <c r="AP45" s="13">
        <f t="shared" si="18"/>
        <v>2.2276277789536882</v>
      </c>
      <c r="AT45" s="12" t="str">
        <f>+'Input Data'!I48</f>
        <v>Test</v>
      </c>
      <c r="AU45" s="101">
        <f>+(O45+P45/2)*'Input Data'!$E$37</f>
        <v>23.89314850646423</v>
      </c>
      <c r="AV45" s="1">
        <f>+(Q45+R45/2)*'Input Data'!$E$37</f>
        <v>25.587065207527854</v>
      </c>
      <c r="AW45" s="97">
        <f>+(S45+T45/2)*'Input Data'!$E$37</f>
        <v>25.425493047166693</v>
      </c>
      <c r="AX45" s="23">
        <f>+(U45+V45/2)*'Input Data'!$E$37</f>
        <v>26.150459243388323</v>
      </c>
      <c r="BA45" s="12" t="str">
        <f>+'Input Data'!I48</f>
        <v>Test</v>
      </c>
      <c r="BB45" s="31">
        <f>+('Input Data'!$C$37/'Input Data'!$B$37+'Input Data'!$D$37)*AU45</f>
        <v>1361.909464868461</v>
      </c>
      <c r="BC45" s="31">
        <f>+('Input Data'!$C$37/'Input Data'!$B$37+'Input Data'!$D$37)*AV45</f>
        <v>1458.4627168290876</v>
      </c>
      <c r="BD45" s="31">
        <f>+('Input Data'!$C$37/'Input Data'!$B$37+'Input Data'!$D$37)*AW45</f>
        <v>1449.2531036885016</v>
      </c>
      <c r="BE45" s="31">
        <f>+('Input Data'!$C$37/'Input Data'!$B$37+'Input Data'!$D$37)*AX45</f>
        <v>1490.5761768731343</v>
      </c>
      <c r="BF45" s="12">
        <f>+('Input Data'!$C$34/'Input Data'!$B$34+'Input Data'!$D$34)*'Input Data'!P48</f>
        <v>37800</v>
      </c>
      <c r="BG45" s="12">
        <f>+('Input Data'!$C$35/'Input Data'!$B$35+'Input Data'!$D$35)*'Input Data'!$Q48</f>
        <v>27360</v>
      </c>
      <c r="BI45" s="12" t="str">
        <f>+'Input Data'!I48</f>
        <v>Test</v>
      </c>
      <c r="BJ45" s="31">
        <f t="shared" si="19"/>
        <v>28643.594593018526</v>
      </c>
      <c r="BK45" s="31">
        <f t="shared" si="20"/>
        <v>30674.29654284665</v>
      </c>
      <c r="BL45" s="31">
        <f t="shared" si="21"/>
        <v>30480.600535907626</v>
      </c>
      <c r="BM45" s="31">
        <f t="shared" si="22"/>
        <v>31349.7048237999</v>
      </c>
      <c r="BN45" s="75">
        <f t="shared" si="23"/>
        <v>795007.2332603069</v>
      </c>
      <c r="BO45" s="23">
        <f t="shared" si="24"/>
        <v>575433.8069312697</v>
      </c>
      <c r="BQ45" s="12" t="str">
        <f>+'Input Data'!I48</f>
        <v>Test</v>
      </c>
      <c r="BR45" s="31">
        <f t="shared" si="25"/>
        <v>29962.008227106144</v>
      </c>
      <c r="BS45" s="31">
        <f t="shared" si="26"/>
        <v>32086.179770239927</v>
      </c>
      <c r="BT45" s="31">
        <f t="shared" si="27"/>
        <v>31883.568281147036</v>
      </c>
      <c r="BU45" s="31">
        <f t="shared" si="28"/>
        <v>32792.67589120896</v>
      </c>
      <c r="BV45" s="75">
        <f t="shared" si="29"/>
        <v>831600</v>
      </c>
      <c r="BW45" s="23">
        <f t="shared" si="30"/>
        <v>601920</v>
      </c>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row>
    <row r="46" spans="5:138" ht="12.75">
      <c r="E46" s="12" t="str">
        <f>+'Input Data'!I49</f>
        <v>VP_HF_Clean</v>
      </c>
      <c r="F46" s="221">
        <v>4.354859633497985</v>
      </c>
      <c r="G46" s="34">
        <f t="shared" si="2"/>
        <v>5</v>
      </c>
      <c r="H46" s="1">
        <f>+('Input Data'!K49+'Input Data'!L49+'Input Data'!M49)*F46/'Input Data'!O49</f>
        <v>0.9406496808355648</v>
      </c>
      <c r="I46" s="20">
        <f>+'Input Data'!N49*F46</f>
        <v>0.24387213947588718</v>
      </c>
      <c r="J46" s="31">
        <f>+('Input Data'!K49+'Input Data'!L49+'Input Data'!M49)*G46/'Input Data'!O49</f>
        <v>1.08</v>
      </c>
      <c r="K46" s="13">
        <f>+'Input Data'!N49*G46</f>
        <v>0.28</v>
      </c>
      <c r="N46" s="12" t="str">
        <f>+'Input Data'!I49</f>
        <v>VP_HF_Clean</v>
      </c>
      <c r="O46" s="157">
        <v>0.03958594515269375</v>
      </c>
      <c r="P46" s="395">
        <v>0.1809683814840814</v>
      </c>
      <c r="Q46" s="157">
        <v>0.04453402747767214</v>
      </c>
      <c r="R46" s="395">
        <v>0.17773609806801596</v>
      </c>
      <c r="S46" s="157">
        <v>0.04453402747767214</v>
      </c>
      <c r="T46" s="395">
        <v>0.17450465486079272</v>
      </c>
      <c r="U46" s="157">
        <v>0.04948339635551715</v>
      </c>
      <c r="V46" s="396">
        <v>0.15188371220138783</v>
      </c>
      <c r="W46" s="74"/>
      <c r="X46" s="12" t="str">
        <f>+'Input Data'!I49</f>
        <v>VP_HF_Clean</v>
      </c>
      <c r="Y46" s="37">
        <f t="shared" si="3"/>
        <v>0.17239123459933126</v>
      </c>
      <c r="Z46" s="7">
        <f t="shared" si="4"/>
        <v>0.7880918994644902</v>
      </c>
      <c r="AA46" s="37">
        <f t="shared" si="5"/>
        <v>0.1939394385796045</v>
      </c>
      <c r="AB46" s="38">
        <f t="shared" si="6"/>
        <v>0.7740157588918419</v>
      </c>
      <c r="AC46" s="7">
        <f t="shared" si="7"/>
        <v>0.1939394385796045</v>
      </c>
      <c r="AD46" s="7">
        <f t="shared" si="8"/>
        <v>0.7599432773107642</v>
      </c>
      <c r="AE46" s="37">
        <f t="shared" si="9"/>
        <v>0.21549324531702294</v>
      </c>
      <c r="AF46" s="13">
        <f t="shared" si="10"/>
        <v>0.6614322472516492</v>
      </c>
      <c r="AH46" s="12" t="str">
        <f>+'Input Data'!I49</f>
        <v>VP_HF_Clean</v>
      </c>
      <c r="AI46" s="12">
        <f t="shared" si="11"/>
        <v>0.19792972576346876</v>
      </c>
      <c r="AJ46" s="7">
        <f t="shared" si="12"/>
        <v>0.904841907420407</v>
      </c>
      <c r="AK46" s="37">
        <f t="shared" si="13"/>
        <v>0.22267013738836072</v>
      </c>
      <c r="AL46" s="38">
        <f t="shared" si="14"/>
        <v>0.8886804903400798</v>
      </c>
      <c r="AM46" s="7">
        <f t="shared" si="15"/>
        <v>0.22267013738836072</v>
      </c>
      <c r="AN46" s="7">
        <f t="shared" si="16"/>
        <v>0.8725232743039636</v>
      </c>
      <c r="AO46" s="37">
        <f t="shared" si="17"/>
        <v>0.24741698177758575</v>
      </c>
      <c r="AP46" s="13">
        <f t="shared" si="18"/>
        <v>0.7594185610069392</v>
      </c>
      <c r="AT46" s="12" t="str">
        <f>+'Input Data'!I49</f>
        <v>VP_HF_Clean</v>
      </c>
      <c r="AU46" s="101">
        <f>+(O46+P46/2)*'Input Data'!$E$37</f>
        <v>19.510520384210167</v>
      </c>
      <c r="AV46" s="1">
        <f>+(Q46+R46/2)*'Input Data'!$E$37</f>
        <v>20.01031147675202</v>
      </c>
      <c r="AW46" s="97">
        <f>+(S46+T46/2)*'Input Data'!$E$37</f>
        <v>19.767953236210275</v>
      </c>
      <c r="AX46" s="23">
        <f>+(U46+V46/2)*'Input Data'!$E$37</f>
        <v>18.813787868431657</v>
      </c>
      <c r="BA46" s="12" t="str">
        <f>+'Input Data'!I49</f>
        <v>VP_HF_Clean</v>
      </c>
      <c r="BB46" s="31">
        <f>+('Input Data'!$C$37/'Input Data'!$B$37+'Input Data'!$D$37)*AU46</f>
        <v>1112.0996618999795</v>
      </c>
      <c r="BC46" s="31">
        <f>+('Input Data'!$C$37/'Input Data'!$B$37+'Input Data'!$D$37)*AV46</f>
        <v>1140.587754174865</v>
      </c>
      <c r="BD46" s="31">
        <f>+('Input Data'!$C$37/'Input Data'!$B$37+'Input Data'!$D$37)*AW46</f>
        <v>1126.7733344639857</v>
      </c>
      <c r="BE46" s="31">
        <f>+('Input Data'!$C$37/'Input Data'!$B$37+'Input Data'!$D$37)*AX46</f>
        <v>1072.3859085006045</v>
      </c>
      <c r="BF46" s="12">
        <f>+('Input Data'!$C$34/'Input Data'!$B$34+'Input Data'!$D$34)*'Input Data'!P49</f>
        <v>100800</v>
      </c>
      <c r="BG46" s="12">
        <f>+('Input Data'!$C$35/'Input Data'!$B$35+'Input Data'!$D$35)*'Input Data'!$Q49</f>
        <v>72960</v>
      </c>
      <c r="BI46" s="12" t="str">
        <f>+'Input Data'!I49</f>
        <v>VP_HF_Clean</v>
      </c>
      <c r="BJ46" s="31">
        <f t="shared" si="19"/>
        <v>4843.037926034978</v>
      </c>
      <c r="BK46" s="31">
        <f t="shared" si="20"/>
        <v>4967.0995691182425</v>
      </c>
      <c r="BL46" s="31">
        <f t="shared" si="21"/>
        <v>4906.9397103591355</v>
      </c>
      <c r="BM46" s="31">
        <f t="shared" si="22"/>
        <v>4670.0901044613465</v>
      </c>
      <c r="BN46" s="75">
        <f t="shared" si="23"/>
        <v>438969.8510565969</v>
      </c>
      <c r="BO46" s="23">
        <f t="shared" si="24"/>
        <v>317730.55886001297</v>
      </c>
      <c r="BQ46" s="12" t="str">
        <f>+'Input Data'!I49</f>
        <v>VP_HF_Clean</v>
      </c>
      <c r="BR46" s="31">
        <f t="shared" si="25"/>
        <v>5560.498309499898</v>
      </c>
      <c r="BS46" s="31">
        <f t="shared" si="26"/>
        <v>5702.938770874325</v>
      </c>
      <c r="BT46" s="31">
        <f t="shared" si="27"/>
        <v>5633.8666723199285</v>
      </c>
      <c r="BU46" s="31">
        <f t="shared" si="28"/>
        <v>5361.929542503022</v>
      </c>
      <c r="BV46" s="75">
        <f t="shared" si="29"/>
        <v>504000</v>
      </c>
      <c r="BW46" s="23">
        <f t="shared" si="30"/>
        <v>364800</v>
      </c>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row>
    <row r="47" spans="5:138" ht="12.75">
      <c r="E47" s="12" t="str">
        <f>+'Input Data'!I50</f>
        <v>Wet_Bench</v>
      </c>
      <c r="F47" s="221">
        <v>10.646938047649115</v>
      </c>
      <c r="G47" s="34">
        <f t="shared" si="2"/>
        <v>11</v>
      </c>
      <c r="H47" s="1">
        <f>+('Input Data'!K50+'Input Data'!L50+'Input Data'!M50)*F47/'Input Data'!O50</f>
        <v>5.749346545730522</v>
      </c>
      <c r="I47" s="20">
        <f>+'Input Data'!N50*F47</f>
        <v>1.4905713266708762</v>
      </c>
      <c r="J47" s="31">
        <f>+('Input Data'!K50+'Input Data'!L50+'Input Data'!M50)*G47/'Input Data'!O50</f>
        <v>5.9399999999999995</v>
      </c>
      <c r="K47" s="13">
        <f>+'Input Data'!N50*G47</f>
        <v>1.54</v>
      </c>
      <c r="N47" s="12" t="str">
        <f>+'Input Data'!I50</f>
        <v>Wet_Bench</v>
      </c>
      <c r="O47" s="157">
        <v>0.03958594515269375</v>
      </c>
      <c r="P47" s="395">
        <v>0.1809683814840814</v>
      </c>
      <c r="Q47" s="157">
        <v>0.04453402747767214</v>
      </c>
      <c r="R47" s="395">
        <v>0.17773609806801596</v>
      </c>
      <c r="S47" s="157">
        <v>0.04453402747767214</v>
      </c>
      <c r="T47" s="395">
        <v>0.17450465486079272</v>
      </c>
      <c r="U47" s="157">
        <v>0.04948339635551715</v>
      </c>
      <c r="V47" s="396">
        <v>0.15188371220138783</v>
      </c>
      <c r="W47" s="74"/>
      <c r="X47" s="12" t="str">
        <f>+'Input Data'!I50</f>
        <v>Wet_Bench</v>
      </c>
      <c r="Y47" s="37">
        <f t="shared" si="3"/>
        <v>0.42146910559836614</v>
      </c>
      <c r="Z47" s="7">
        <f t="shared" si="4"/>
        <v>1.9267591462443459</v>
      </c>
      <c r="AA47" s="37">
        <f t="shared" si="5"/>
        <v>0.47415103156707866</v>
      </c>
      <c r="AB47" s="38">
        <f t="shared" si="6"/>
        <v>1.8923452249610535</v>
      </c>
      <c r="AC47" s="7">
        <f t="shared" si="7"/>
        <v>0.47415103156707866</v>
      </c>
      <c r="AD47" s="7">
        <f t="shared" si="8"/>
        <v>1.8579402493292512</v>
      </c>
      <c r="AE47" s="37">
        <f t="shared" si="9"/>
        <v>0.5268466553844571</v>
      </c>
      <c r="AF47" s="13">
        <f t="shared" si="10"/>
        <v>1.6170964742551441</v>
      </c>
      <c r="AH47" s="12" t="str">
        <f>+'Input Data'!I50</f>
        <v>Wet_Bench</v>
      </c>
      <c r="AI47" s="12">
        <f t="shared" si="11"/>
        <v>0.4354453966796313</v>
      </c>
      <c r="AJ47" s="7">
        <f t="shared" si="12"/>
        <v>1.9906521963248953</v>
      </c>
      <c r="AK47" s="37">
        <f t="shared" si="13"/>
        <v>0.48987430225439355</v>
      </c>
      <c r="AL47" s="38">
        <f t="shared" si="14"/>
        <v>1.9550970787481756</v>
      </c>
      <c r="AM47" s="7">
        <f t="shared" si="15"/>
        <v>0.48987430225439355</v>
      </c>
      <c r="AN47" s="7">
        <f t="shared" si="16"/>
        <v>1.9195512034687199</v>
      </c>
      <c r="AO47" s="37">
        <f t="shared" si="17"/>
        <v>0.5443173599106886</v>
      </c>
      <c r="AP47" s="13">
        <f t="shared" si="18"/>
        <v>1.6707208342152662</v>
      </c>
      <c r="AT47" s="12" t="str">
        <f>+'Input Data'!I50</f>
        <v>Wet_Bench</v>
      </c>
      <c r="AU47" s="101">
        <f>+(O47+P47/2)*'Input Data'!$E$37</f>
        <v>19.510520384210167</v>
      </c>
      <c r="AV47" s="1">
        <f>+(Q47+R47/2)*'Input Data'!$E$37</f>
        <v>20.01031147675202</v>
      </c>
      <c r="AW47" s="97">
        <f>+(S47+T47/2)*'Input Data'!$E$37</f>
        <v>19.767953236210275</v>
      </c>
      <c r="AX47" s="23">
        <f>+(U47+V47/2)*'Input Data'!$E$37</f>
        <v>18.813787868431657</v>
      </c>
      <c r="BA47" s="12" t="str">
        <f>+'Input Data'!I50</f>
        <v>Wet_Bench</v>
      </c>
      <c r="BB47" s="31">
        <f>+('Input Data'!$C$37/'Input Data'!$B$37+'Input Data'!$D$37)*AU47</f>
        <v>1112.0996618999795</v>
      </c>
      <c r="BC47" s="31">
        <f>+('Input Data'!$C$37/'Input Data'!$B$37+'Input Data'!$D$37)*AV47</f>
        <v>1140.587754174865</v>
      </c>
      <c r="BD47" s="31">
        <f>+('Input Data'!$C$37/'Input Data'!$B$37+'Input Data'!$D$37)*AW47</f>
        <v>1126.7733344639857</v>
      </c>
      <c r="BE47" s="31">
        <f>+('Input Data'!$C$37/'Input Data'!$B$37+'Input Data'!$D$37)*AX47</f>
        <v>1072.3859085006045</v>
      </c>
      <c r="BF47" s="12">
        <f>+('Input Data'!$C$34/'Input Data'!$B$34+'Input Data'!$D$34)*'Input Data'!P50</f>
        <v>157500</v>
      </c>
      <c r="BG47" s="12">
        <f>+('Input Data'!$C$35/'Input Data'!$B$35+'Input Data'!$D$35)*'Input Data'!$Q50</f>
        <v>114000</v>
      </c>
      <c r="BI47" s="12" t="str">
        <f>+'Input Data'!I50</f>
        <v>Wet_Bench</v>
      </c>
      <c r="BJ47" s="31">
        <f t="shared" si="19"/>
        <v>11840.45620306061</v>
      </c>
      <c r="BK47" s="31">
        <f t="shared" si="20"/>
        <v>12143.767156607028</v>
      </c>
      <c r="BL47" s="31">
        <f t="shared" si="21"/>
        <v>11996.685885781071</v>
      </c>
      <c r="BM47" s="31">
        <f t="shared" si="22"/>
        <v>11417.62633097785</v>
      </c>
      <c r="BN47" s="75">
        <f t="shared" si="23"/>
        <v>1676892.7425047357</v>
      </c>
      <c r="BO47" s="23">
        <f t="shared" si="24"/>
        <v>1213750.9374319992</v>
      </c>
      <c r="BQ47" s="12" t="str">
        <f>+'Input Data'!I50</f>
        <v>Wet_Bench</v>
      </c>
      <c r="BR47" s="31">
        <f t="shared" si="25"/>
        <v>12233.096280899776</v>
      </c>
      <c r="BS47" s="31">
        <f t="shared" si="26"/>
        <v>12546.465295923515</v>
      </c>
      <c r="BT47" s="31">
        <f t="shared" si="27"/>
        <v>12394.506679103843</v>
      </c>
      <c r="BU47" s="31">
        <f t="shared" si="28"/>
        <v>11796.244993506649</v>
      </c>
      <c r="BV47" s="75">
        <f t="shared" si="29"/>
        <v>1732500</v>
      </c>
      <c r="BW47" s="23">
        <f t="shared" si="30"/>
        <v>1254000</v>
      </c>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row>
    <row r="48" spans="5:138" ht="13.5" thickBot="1">
      <c r="E48" s="270" t="str">
        <f>+'Input Data'!I51</f>
        <v>Wet_Bench(I)</v>
      </c>
      <c r="F48" s="151">
        <v>9.222159774628128</v>
      </c>
      <c r="G48" s="35">
        <f t="shared" si="2"/>
        <v>10</v>
      </c>
      <c r="H48" s="32">
        <f>+('Input Data'!K51+'Input Data'!L51+'Input Data'!M51)*F48/'Input Data'!O51</f>
        <v>4.979966278299189</v>
      </c>
      <c r="I48" s="21">
        <f>+'Input Data'!N51*F48</f>
        <v>1.2911023684479381</v>
      </c>
      <c r="J48" s="32">
        <f>+('Input Data'!K51+'Input Data'!L51+'Input Data'!M51)*G48/'Input Data'!O51</f>
        <v>5.3999999999999995</v>
      </c>
      <c r="K48" s="16">
        <f>+'Input Data'!N51*G48</f>
        <v>1.4000000000000001</v>
      </c>
      <c r="N48" s="100" t="str">
        <f>+'Input Data'!I51</f>
        <v>Wet_Bench(I)</v>
      </c>
      <c r="O48" s="162">
        <v>0.03958594515269375</v>
      </c>
      <c r="P48" s="397">
        <v>0.1809683814840814</v>
      </c>
      <c r="Q48" s="162">
        <v>0.04453402747767214</v>
      </c>
      <c r="R48" s="397">
        <v>0.17773609806801596</v>
      </c>
      <c r="S48" s="162">
        <v>0.04453402747767214</v>
      </c>
      <c r="T48" s="397">
        <v>0.17450465486079272</v>
      </c>
      <c r="U48" s="162">
        <v>0.04948339635551715</v>
      </c>
      <c r="V48" s="398">
        <v>0.15188371220138783</v>
      </c>
      <c r="W48" s="74"/>
      <c r="X48" s="100" t="str">
        <f>+'Input Data'!I51</f>
        <v>Wet_Bench(I)</v>
      </c>
      <c r="Y48" s="30">
        <f t="shared" si="3"/>
        <v>0.36506791102780767</v>
      </c>
      <c r="Z48" s="15">
        <f t="shared" si="4"/>
        <v>1.6689193282020534</v>
      </c>
      <c r="AA48" s="30">
        <f t="shared" si="5"/>
        <v>0.4106999168067718</v>
      </c>
      <c r="AB48" s="36">
        <f t="shared" si="6"/>
        <v>1.639110694102217</v>
      </c>
      <c r="AC48" s="15">
        <f t="shared" si="7"/>
        <v>0.4106999168067718</v>
      </c>
      <c r="AD48" s="15">
        <f t="shared" si="8"/>
        <v>1.6093098085425674</v>
      </c>
      <c r="AE48" s="30">
        <f t="shared" si="9"/>
        <v>0.4563437873818304</v>
      </c>
      <c r="AF48" s="16">
        <f t="shared" si="10"/>
        <v>1.4006958610848343</v>
      </c>
      <c r="AH48" s="72" t="str">
        <f>+'Input Data'!I51</f>
        <v>Wet_Bench(I)</v>
      </c>
      <c r="AI48" s="14">
        <f t="shared" si="11"/>
        <v>0.3958594515269375</v>
      </c>
      <c r="AJ48" s="15">
        <f t="shared" si="12"/>
        <v>1.809683814840814</v>
      </c>
      <c r="AK48" s="30">
        <f t="shared" si="13"/>
        <v>0.44534027477672145</v>
      </c>
      <c r="AL48" s="36">
        <f t="shared" si="14"/>
        <v>1.7773609806801596</v>
      </c>
      <c r="AM48" s="15">
        <f t="shared" si="15"/>
        <v>0.44534027477672145</v>
      </c>
      <c r="AN48" s="15">
        <f t="shared" si="16"/>
        <v>1.7450465486079272</v>
      </c>
      <c r="AO48" s="30">
        <f t="shared" si="17"/>
        <v>0.4948339635551715</v>
      </c>
      <c r="AP48" s="16">
        <f t="shared" si="18"/>
        <v>1.5188371220138783</v>
      </c>
      <c r="AT48" s="72" t="str">
        <f>+'Input Data'!I51</f>
        <v>Wet_Bench(I)</v>
      </c>
      <c r="AU48" s="102">
        <f>+(O48+P48/2)*'Input Data'!$E$37</f>
        <v>19.510520384210167</v>
      </c>
      <c r="AV48" s="24">
        <f>+(Q48+R48/2)*'Input Data'!$E$37</f>
        <v>20.01031147675202</v>
      </c>
      <c r="AW48" s="95">
        <f>+(S48+T48/2)*'Input Data'!$E$37</f>
        <v>19.767953236210275</v>
      </c>
      <c r="AX48" s="25">
        <f>+(U48+V48/2)*'Input Data'!$E$37</f>
        <v>18.813787868431657</v>
      </c>
      <c r="BA48" s="100" t="str">
        <f>+'Input Data'!I51</f>
        <v>Wet_Bench(I)</v>
      </c>
      <c r="BB48" s="32">
        <f>+('Input Data'!$C$37/'Input Data'!$B$37+'Input Data'!$D$37)*AU48</f>
        <v>1112.0996618999795</v>
      </c>
      <c r="BC48" s="32">
        <f>+('Input Data'!$C$37/'Input Data'!$B$37+'Input Data'!$D$37)*AV48</f>
        <v>1140.587754174865</v>
      </c>
      <c r="BD48" s="32">
        <f>+('Input Data'!$C$37/'Input Data'!$B$37+'Input Data'!$D$37)*AW48</f>
        <v>1126.7733344639857</v>
      </c>
      <c r="BE48" s="32">
        <f>+('Input Data'!$C$37/'Input Data'!$B$37+'Input Data'!$D$37)*AX48</f>
        <v>1072.3859085006045</v>
      </c>
      <c r="BF48" s="14">
        <f>+('Input Data'!$C$34/'Input Data'!$B$34+'Input Data'!$D$34)*'Input Data'!P51</f>
        <v>157500</v>
      </c>
      <c r="BG48" s="14">
        <f>+('Input Data'!$C$35/'Input Data'!$B$35+'Input Data'!$D$35)*'Input Data'!$Q51</f>
        <v>114000</v>
      </c>
      <c r="BI48" s="100" t="str">
        <f>+'Input Data'!I51</f>
        <v>Wet_Bench(I)</v>
      </c>
      <c r="BJ48" s="32">
        <f t="shared" si="19"/>
        <v>10255.960767351533</v>
      </c>
      <c r="BK48" s="32">
        <f t="shared" si="20"/>
        <v>10518.682505984876</v>
      </c>
      <c r="BL48" s="32">
        <f t="shared" si="21"/>
        <v>10391.283720217376</v>
      </c>
      <c r="BM48" s="32">
        <f t="shared" si="22"/>
        <v>9889.714188252316</v>
      </c>
      <c r="BN48" s="76">
        <f t="shared" si="23"/>
        <v>1452490.1645039301</v>
      </c>
      <c r="BO48" s="25">
        <f t="shared" si="24"/>
        <v>1051326.2143076067</v>
      </c>
      <c r="BQ48" s="100" t="str">
        <f>+'Input Data'!I51</f>
        <v>Wet_Bench(I)</v>
      </c>
      <c r="BR48" s="32">
        <f t="shared" si="25"/>
        <v>11120.996618999796</v>
      </c>
      <c r="BS48" s="32">
        <f t="shared" si="26"/>
        <v>11405.87754174865</v>
      </c>
      <c r="BT48" s="32">
        <f t="shared" si="27"/>
        <v>11267.733344639857</v>
      </c>
      <c r="BU48" s="32">
        <f t="shared" si="28"/>
        <v>10723.859085006045</v>
      </c>
      <c r="BV48" s="76">
        <f t="shared" si="29"/>
        <v>1575000</v>
      </c>
      <c r="BW48" s="25">
        <f t="shared" si="30"/>
        <v>1140000</v>
      </c>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row>
    <row r="49" spans="6:138" ht="12.75">
      <c r="F49" s="10"/>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row>
    <row r="50" spans="5:138" ht="12.75">
      <c r="E50" t="s">
        <v>124</v>
      </c>
      <c r="F50" s="3">
        <f>SUM(F6:F48)</f>
        <v>289.1113153913219</v>
      </c>
      <c r="G50" s="4">
        <f>SUM(G6:G49)</f>
        <v>312</v>
      </c>
      <c r="H50" s="3">
        <f>SUM(H6:H48)</f>
        <v>180.37484755316825</v>
      </c>
      <c r="I50" s="3">
        <f>SUM(I6:I48)</f>
        <v>46.76384936563621</v>
      </c>
      <c r="J50" s="3">
        <f>SUM(J6:J48)</f>
        <v>196.12800000000001</v>
      </c>
      <c r="K50" s="3">
        <f>SUM(K6:K48)</f>
        <v>50.84800000000002</v>
      </c>
      <c r="X50" t="s">
        <v>167</v>
      </c>
      <c r="Y50" s="3">
        <f aca="true" t="shared" si="31" ref="Y50:AF50">SUM(Y3:Y48)</f>
        <v>84.3314659350449</v>
      </c>
      <c r="Z50" s="3">
        <f t="shared" si="31"/>
        <v>178.2903460694945</v>
      </c>
      <c r="AA50" s="3">
        <f t="shared" si="31"/>
        <v>90.15410618939777</v>
      </c>
      <c r="AB50" s="3">
        <f t="shared" si="31"/>
        <v>186.43224099565307</v>
      </c>
      <c r="AC50" s="3">
        <f t="shared" si="31"/>
        <v>92.40410618939777</v>
      </c>
      <c r="AD50" s="3">
        <f t="shared" si="31"/>
        <v>202.32442396576116</v>
      </c>
      <c r="AE50" s="3">
        <f t="shared" si="31"/>
        <v>96.97709034397268</v>
      </c>
      <c r="AF50" s="3">
        <f t="shared" si="31"/>
        <v>206.31941671256786</v>
      </c>
      <c r="AH50" t="s">
        <v>167</v>
      </c>
      <c r="AI50" s="3">
        <f aca="true" t="shared" si="32" ref="AI50:AP50">SUM(AI3:AI48)</f>
        <v>85.05178734109401</v>
      </c>
      <c r="AJ50" s="3">
        <f t="shared" si="32"/>
        <v>183.08765556145403</v>
      </c>
      <c r="AK50" s="3">
        <f t="shared" si="32"/>
        <v>90.96446484487534</v>
      </c>
      <c r="AL50" s="3">
        <f t="shared" si="32"/>
        <v>191.1438655531205</v>
      </c>
      <c r="AM50" s="3">
        <f t="shared" si="32"/>
        <v>93.21446484487534</v>
      </c>
      <c r="AN50" s="3">
        <f t="shared" si="32"/>
        <v>206.95038586191953</v>
      </c>
      <c r="AO50" s="3">
        <f t="shared" si="32"/>
        <v>97.8775096595001</v>
      </c>
      <c r="AP50" s="3">
        <f t="shared" si="32"/>
        <v>210.3457177063793</v>
      </c>
      <c r="BI50" t="s">
        <v>200</v>
      </c>
      <c r="BJ50" s="3">
        <f aca="true" t="shared" si="33" ref="BJ50:BO50">SUM(BJ3:BJ48)</f>
        <v>1733184.5131917233</v>
      </c>
      <c r="BK50" s="3">
        <f t="shared" si="33"/>
        <v>1809823.1881757667</v>
      </c>
      <c r="BL50" s="3">
        <f t="shared" si="33"/>
        <v>1891698.7703729786</v>
      </c>
      <c r="BM50" s="3">
        <f t="shared" si="33"/>
        <v>1936034.6288871947</v>
      </c>
      <c r="BN50" s="3">
        <f t="shared" si="33"/>
        <v>29026046.906634673</v>
      </c>
      <c r="BO50" s="3">
        <f t="shared" si="33"/>
        <v>21009329.18956414</v>
      </c>
      <c r="BQ50" t="s">
        <v>201</v>
      </c>
      <c r="BR50" s="3">
        <f aca="true" t="shared" si="34" ref="BR50:BW50">SUM(BR3:BR48)</f>
        <v>1759851.7592915713</v>
      </c>
      <c r="BS50" s="3">
        <f t="shared" si="34"/>
        <v>1836893.9496632747</v>
      </c>
      <c r="BT50" s="3">
        <f t="shared" si="34"/>
        <v>1918403.3239833908</v>
      </c>
      <c r="BU50" s="3">
        <f t="shared" si="34"/>
        <v>1960945.6507834967</v>
      </c>
      <c r="BV50" s="3">
        <f t="shared" si="34"/>
        <v>31676400</v>
      </c>
      <c r="BW50" s="3">
        <f t="shared" si="34"/>
        <v>22927680</v>
      </c>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row>
    <row r="51" spans="61:138" ht="13.5" thickBot="1">
      <c r="BI51" t="s">
        <v>181</v>
      </c>
      <c r="BN51" s="3">
        <f>+BN50+BO50</f>
        <v>50035376.09619881</v>
      </c>
      <c r="BQ51" t="s">
        <v>181</v>
      </c>
      <c r="BV51" s="3">
        <f>+BV50+BW50</f>
        <v>54604080</v>
      </c>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row>
    <row r="52" spans="6:138" ht="13.5" thickBot="1">
      <c r="F52" s="184" t="s">
        <v>186</v>
      </c>
      <c r="G52" s="185"/>
      <c r="H52" s="185"/>
      <c r="I52" s="185"/>
      <c r="J52" s="185"/>
      <c r="K52" s="186"/>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row>
    <row r="53" spans="6:138" ht="13.5" thickBot="1">
      <c r="F53" s="187"/>
      <c r="G53" s="188"/>
      <c r="H53" s="184" t="s">
        <v>184</v>
      </c>
      <c r="I53" s="186"/>
      <c r="J53" s="184" t="s">
        <v>185</v>
      </c>
      <c r="K53" s="186"/>
      <c r="BI53" s="184" t="s">
        <v>202</v>
      </c>
      <c r="BJ53" s="190" t="s">
        <v>271</v>
      </c>
      <c r="BK53" s="190" t="s">
        <v>272</v>
      </c>
      <c r="BL53" s="232" t="s">
        <v>273</v>
      </c>
      <c r="BM53" s="190" t="s">
        <v>274</v>
      </c>
      <c r="BQ53" s="184" t="s">
        <v>202</v>
      </c>
      <c r="BR53" s="190" t="s">
        <v>271</v>
      </c>
      <c r="BS53" s="190" t="s">
        <v>272</v>
      </c>
      <c r="BT53" s="232" t="s">
        <v>273</v>
      </c>
      <c r="BU53" s="190" t="s">
        <v>274</v>
      </c>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row>
    <row r="54" spans="6:73" ht="13.5" thickBot="1">
      <c r="F54" s="187"/>
      <c r="G54" s="188"/>
      <c r="H54" s="189" t="s">
        <v>187</v>
      </c>
      <c r="I54" s="190" t="s">
        <v>188</v>
      </c>
      <c r="J54" s="189" t="s">
        <v>187</v>
      </c>
      <c r="K54" s="190" t="s">
        <v>188</v>
      </c>
      <c r="BI54" s="184" t="s">
        <v>184</v>
      </c>
      <c r="BJ54" s="184"/>
      <c r="BK54" s="195"/>
      <c r="BL54" s="185"/>
      <c r="BM54" s="195"/>
      <c r="BQ54" s="184" t="s">
        <v>204</v>
      </c>
      <c r="BR54" s="195"/>
      <c r="BS54" s="195"/>
      <c r="BT54" s="195"/>
      <c r="BU54" s="195"/>
    </row>
    <row r="55" spans="6:73" ht="13.5" thickBot="1">
      <c r="F55" s="191"/>
      <c r="G55" s="192" t="s">
        <v>137</v>
      </c>
      <c r="H55" s="193">
        <f>+H50/'Input Data'!$C$57/12*1000000</f>
        <v>601.2494918438941</v>
      </c>
      <c r="I55" s="194">
        <f>+I50/'Input Data'!$C$57/12*1000000</f>
        <v>155.87949788545404</v>
      </c>
      <c r="J55" s="193">
        <f>+J50/'Input Data'!$C$57/12*1000000</f>
        <v>653.7600000000001</v>
      </c>
      <c r="K55" s="194">
        <f>+K50/'Input Data'!$C$57/12*1000000</f>
        <v>169.4933333333334</v>
      </c>
      <c r="BI55" s="187" t="s">
        <v>148</v>
      </c>
      <c r="BJ55" s="187">
        <f>+$BN$51/WS/12/LY</f>
        <v>170.18835406870346</v>
      </c>
      <c r="BK55" s="187">
        <f>+$BN$51/WS/12/LY</f>
        <v>170.18835406870346</v>
      </c>
      <c r="BL55" s="187">
        <f>+$BN$51/WS/12/LY</f>
        <v>170.18835406870346</v>
      </c>
      <c r="BM55" s="187">
        <f>+$BN$51/WS/12/LY</f>
        <v>170.18835406870346</v>
      </c>
      <c r="BQ55" s="187" t="s">
        <v>148</v>
      </c>
      <c r="BR55" s="201">
        <f>+$BV$51/WS/12/LY</f>
        <v>185.72816326530614</v>
      </c>
      <c r="BS55" s="201">
        <f>+$BV$51/WS/12/LY</f>
        <v>185.72816326530614</v>
      </c>
      <c r="BT55" s="201">
        <f>+$BV$51/WS/12/LY</f>
        <v>185.72816326530614</v>
      </c>
      <c r="BU55" s="201">
        <f>+$BV$51/WS/12/LY</f>
        <v>185.72816326530614</v>
      </c>
    </row>
    <row r="56" spans="61:73" ht="13.5" thickBot="1">
      <c r="BI56" s="187" t="s">
        <v>149</v>
      </c>
      <c r="BJ56" s="187">
        <f>+BJ50/WS/12/LY</f>
        <v>5.895185419019467</v>
      </c>
      <c r="BK56" s="187">
        <f>+BK50/WS/12/LY</f>
        <v>6.155861184271315</v>
      </c>
      <c r="BL56" s="187">
        <f>+BL50/WS/12/LY</f>
        <v>6.434349559091765</v>
      </c>
      <c r="BM56" s="187">
        <f>+BM50/WS/12/LY</f>
        <v>6.585151798936037</v>
      </c>
      <c r="BQ56" s="187" t="s">
        <v>149</v>
      </c>
      <c r="BR56" s="201">
        <f>+BR50/WS/12/LY</f>
        <v>5.985890337726433</v>
      </c>
      <c r="BS56" s="201">
        <f>+BS50/WS/12/LY</f>
        <v>6.247938604296853</v>
      </c>
      <c r="BT56" s="201">
        <f>+BT50/WS/12/LY</f>
        <v>6.525181374093167</v>
      </c>
      <c r="BU56" s="201">
        <f>+BU50/WS/12/LY</f>
        <v>6.66988316593026</v>
      </c>
    </row>
    <row r="57" spans="19:73" ht="13.5" thickBot="1">
      <c r="S57" s="19"/>
      <c r="T57" s="39" t="s">
        <v>174</v>
      </c>
      <c r="U57" s="17"/>
      <c r="V57" s="17"/>
      <c r="W57" s="18"/>
      <c r="Y57" s="19" t="s">
        <v>175</v>
      </c>
      <c r="Z57" s="17"/>
      <c r="AA57" s="17"/>
      <c r="AB57" s="17"/>
      <c r="AC57" s="18"/>
      <c r="AE57" s="19" t="s">
        <v>177</v>
      </c>
      <c r="AF57" s="17"/>
      <c r="AG57" s="17"/>
      <c r="AH57" s="17"/>
      <c r="AI57" s="18"/>
      <c r="AK57" s="19" t="s">
        <v>179</v>
      </c>
      <c r="AL57" s="17"/>
      <c r="AM57" s="17"/>
      <c r="AN57" s="17"/>
      <c r="AO57" s="17"/>
      <c r="AP57" s="18"/>
      <c r="BI57" s="189" t="s">
        <v>203</v>
      </c>
      <c r="BJ57" s="189">
        <f>SUM(BJ55:BJ56)</f>
        <v>176.08353948772293</v>
      </c>
      <c r="BK57" s="190">
        <f>SUM(BK55:BK56)</f>
        <v>176.34421525297478</v>
      </c>
      <c r="BL57" s="198">
        <f>SUM(BL55:BL56)</f>
        <v>176.62270362779523</v>
      </c>
      <c r="BM57" s="190">
        <f>SUM(BM55:BM56)</f>
        <v>176.7735058676395</v>
      </c>
      <c r="BQ57" s="189" t="s">
        <v>203</v>
      </c>
      <c r="BR57" s="190">
        <f>SUM(BR55:BR56)</f>
        <v>191.71405360303257</v>
      </c>
      <c r="BS57" s="198">
        <f>SUM(BS55:BS56)</f>
        <v>191.97610186960299</v>
      </c>
      <c r="BT57" s="190">
        <f>SUM(BT55:BT56)</f>
        <v>192.2533446393993</v>
      </c>
      <c r="BU57" s="203">
        <f>SUM(BU55:BU56)</f>
        <v>192.3980464312364</v>
      </c>
    </row>
    <row r="58" spans="19:42" ht="12.75">
      <c r="S58" s="40" t="s">
        <v>170</v>
      </c>
      <c r="T58" s="41" t="str">
        <f>+'Input Data'!A24</f>
        <v>Operator</v>
      </c>
      <c r="U58" s="57" t="str">
        <f>+'Input Data'!A25</f>
        <v>Supervisor</v>
      </c>
      <c r="V58" s="43" t="str">
        <f>+'Input Data'!A26</f>
        <v>Manager</v>
      </c>
      <c r="W58" s="58" t="str">
        <f>+'Input Data'!A27</f>
        <v>Overhead staff</v>
      </c>
      <c r="Y58" s="45" t="s">
        <v>127</v>
      </c>
      <c r="Z58" s="41" t="s">
        <v>128</v>
      </c>
      <c r="AA58" s="48" t="s">
        <v>129</v>
      </c>
      <c r="AB58" s="48" t="s">
        <v>130</v>
      </c>
      <c r="AC58" s="49" t="s">
        <v>131</v>
      </c>
      <c r="AE58" s="40" t="s">
        <v>127</v>
      </c>
      <c r="AF58" s="41" t="s">
        <v>271</v>
      </c>
      <c r="AG58" s="43" t="s">
        <v>272</v>
      </c>
      <c r="AH58" s="43" t="s">
        <v>273</v>
      </c>
      <c r="AI58" s="44" t="s">
        <v>274</v>
      </c>
      <c r="AK58" s="40" t="s">
        <v>127</v>
      </c>
      <c r="AL58" s="79" t="s">
        <v>180</v>
      </c>
      <c r="AM58" s="41" t="s">
        <v>271</v>
      </c>
      <c r="AN58" s="43" t="s">
        <v>272</v>
      </c>
      <c r="AO58" s="43" t="s">
        <v>273</v>
      </c>
      <c r="AP58" s="44" t="s">
        <v>274</v>
      </c>
    </row>
    <row r="59" spans="19:42" ht="12.75">
      <c r="S59" s="12" t="s">
        <v>121</v>
      </c>
      <c r="T59" s="388">
        <v>273</v>
      </c>
      <c r="U59" s="399">
        <v>16</v>
      </c>
      <c r="V59" s="86">
        <v>15</v>
      </c>
      <c r="W59" s="400">
        <v>8</v>
      </c>
      <c r="Y59" s="12" t="str">
        <f>+'Input Data'!A24</f>
        <v>Operator</v>
      </c>
      <c r="Z59" s="68">
        <f>+T61</f>
        <v>510.5</v>
      </c>
      <c r="AA59" s="2">
        <f>+T67</f>
        <v>410</v>
      </c>
      <c r="AB59" s="2">
        <f>+T73</f>
        <v>366</v>
      </c>
      <c r="AC59" s="51">
        <f>+T79</f>
        <v>285</v>
      </c>
      <c r="AE59" s="12" t="str">
        <f>+'Input Data'!A24</f>
        <v>Operator</v>
      </c>
      <c r="AF59" s="68">
        <f aca="true" t="shared" si="35" ref="AF59:AI64">+ROUNDUP(Z59,0)</f>
        <v>511</v>
      </c>
      <c r="AG59" s="2">
        <f t="shared" si="35"/>
        <v>410</v>
      </c>
      <c r="AH59" s="2">
        <f t="shared" si="35"/>
        <v>366</v>
      </c>
      <c r="AI59" s="51">
        <f t="shared" si="35"/>
        <v>285</v>
      </c>
      <c r="AK59" s="12" t="str">
        <f>+'Input Data'!A24</f>
        <v>Operator</v>
      </c>
      <c r="AL59" s="78">
        <f>+'Input Data'!B24</f>
        <v>60000</v>
      </c>
      <c r="AM59" s="7">
        <f>+AF59*'Input Data'!$B24</f>
        <v>30660000</v>
      </c>
      <c r="AN59" s="7">
        <f>+AG59*'Input Data'!$B24</f>
        <v>24600000</v>
      </c>
      <c r="AO59" s="7">
        <f>+AH59*'Input Data'!$B24</f>
        <v>21960000</v>
      </c>
      <c r="AP59" s="13">
        <f>+AI59*'Input Data'!$B24</f>
        <v>17100000</v>
      </c>
    </row>
    <row r="60" spans="19:42" ht="12.75">
      <c r="S60" s="12" t="s">
        <v>126</v>
      </c>
      <c r="T60" s="388">
        <v>0.0095</v>
      </c>
      <c r="U60" s="399">
        <v>0.00057</v>
      </c>
      <c r="V60" s="86"/>
      <c r="W60" s="401">
        <v>0.0002494</v>
      </c>
      <c r="X60" s="7"/>
      <c r="Y60" s="12" t="str">
        <f>+'Input Data'!A25</f>
        <v>Supervisor</v>
      </c>
      <c r="Z60" s="68">
        <f>+U61</f>
        <v>30.25</v>
      </c>
      <c r="AA60" s="2">
        <f>+U67</f>
        <v>24.5</v>
      </c>
      <c r="AB60" s="2">
        <f>+U73</f>
        <v>22.25</v>
      </c>
      <c r="AC60" s="51">
        <f>+U79</f>
        <v>17</v>
      </c>
      <c r="AE60" s="12" t="str">
        <f>+'Input Data'!A25</f>
        <v>Supervisor</v>
      </c>
      <c r="AF60" s="68">
        <f t="shared" si="35"/>
        <v>31</v>
      </c>
      <c r="AG60" s="2">
        <f t="shared" si="35"/>
        <v>25</v>
      </c>
      <c r="AH60" s="2">
        <f t="shared" si="35"/>
        <v>23</v>
      </c>
      <c r="AI60" s="51">
        <f t="shared" si="35"/>
        <v>17</v>
      </c>
      <c r="AK60" s="12" t="str">
        <f>+'Input Data'!A25</f>
        <v>Supervisor</v>
      </c>
      <c r="AL60" s="78">
        <f>+'Input Data'!B25</f>
        <v>80000</v>
      </c>
      <c r="AM60" s="7">
        <f>+AF60*'Input Data'!$B25</f>
        <v>2480000</v>
      </c>
      <c r="AN60" s="7">
        <f>+AG60*'Input Data'!$B25</f>
        <v>2000000</v>
      </c>
      <c r="AO60" s="7">
        <f>+AH60*'Input Data'!$B25</f>
        <v>1840000</v>
      </c>
      <c r="AP60" s="13">
        <f>+AI60*'Input Data'!$B25</f>
        <v>1360000</v>
      </c>
    </row>
    <row r="61" spans="19:42" ht="13.5" thickBot="1">
      <c r="S61" s="59" t="s">
        <v>169</v>
      </c>
      <c r="T61" s="60">
        <f>+T59+T60*'Input Data'!$C$57</f>
        <v>510.5</v>
      </c>
      <c r="U61" s="61">
        <f>+U59+U60*'Input Data'!$C$57</f>
        <v>30.25</v>
      </c>
      <c r="V61" s="62">
        <f>+V59+V60*'Input Data'!$C$57</f>
        <v>15</v>
      </c>
      <c r="W61" s="65">
        <f>+W59+W60*'Input Data'!$C$57</f>
        <v>14.235</v>
      </c>
      <c r="Y61" s="12" t="str">
        <f>+'Input Data'!A26</f>
        <v>Manager</v>
      </c>
      <c r="Z61" s="68">
        <f>+V61</f>
        <v>15</v>
      </c>
      <c r="AA61" s="2">
        <f>+V67</f>
        <v>15</v>
      </c>
      <c r="AB61" s="2">
        <f>+V73</f>
        <v>15</v>
      </c>
      <c r="AC61" s="51">
        <f>+V79</f>
        <v>15</v>
      </c>
      <c r="AE61" s="12" t="str">
        <f>+'Input Data'!A26</f>
        <v>Manager</v>
      </c>
      <c r="AF61" s="68">
        <f t="shared" si="35"/>
        <v>15</v>
      </c>
      <c r="AG61" s="2">
        <f t="shared" si="35"/>
        <v>15</v>
      </c>
      <c r="AH61" s="2">
        <f t="shared" si="35"/>
        <v>15</v>
      </c>
      <c r="AI61" s="51">
        <f t="shared" si="35"/>
        <v>15</v>
      </c>
      <c r="AK61" s="12" t="str">
        <f>+'Input Data'!A26</f>
        <v>Manager</v>
      </c>
      <c r="AL61" s="78">
        <f>+'Input Data'!B26</f>
        <v>125000</v>
      </c>
      <c r="AM61" s="7">
        <f>+AF61*'Input Data'!$B26</f>
        <v>1875000</v>
      </c>
      <c r="AN61" s="7">
        <f>+AG61*'Input Data'!$B26</f>
        <v>1875000</v>
      </c>
      <c r="AO61" s="7">
        <f>+AH61*'Input Data'!$B26</f>
        <v>1875000</v>
      </c>
      <c r="AP61" s="13">
        <f>+AI61*'Input Data'!$B26</f>
        <v>1875000</v>
      </c>
    </row>
    <row r="62" spans="19:42" ht="12.75">
      <c r="S62" s="7"/>
      <c r="T62" s="7"/>
      <c r="U62" s="7"/>
      <c r="V62" s="7"/>
      <c r="Y62" s="12" t="str">
        <f>+'Input Data'!A27</f>
        <v>Overhead staff</v>
      </c>
      <c r="Z62" s="68">
        <f>+W61</f>
        <v>14.235</v>
      </c>
      <c r="AA62" s="2">
        <f>+W67</f>
        <v>13.305</v>
      </c>
      <c r="AB62" s="2">
        <f>+W73</f>
        <v>12.684999999999999</v>
      </c>
      <c r="AC62" s="51">
        <f>+W79</f>
        <v>11.3</v>
      </c>
      <c r="AE62" s="12" t="str">
        <f>+'Input Data'!A27</f>
        <v>Overhead staff</v>
      </c>
      <c r="AF62" s="68">
        <f t="shared" si="35"/>
        <v>15</v>
      </c>
      <c r="AG62" s="2">
        <f t="shared" si="35"/>
        <v>14</v>
      </c>
      <c r="AH62" s="2">
        <f t="shared" si="35"/>
        <v>13</v>
      </c>
      <c r="AI62" s="51">
        <f t="shared" si="35"/>
        <v>12</v>
      </c>
      <c r="AK62" s="12" t="str">
        <f>+'Input Data'!A27</f>
        <v>Overhead staff</v>
      </c>
      <c r="AL62" s="78">
        <f>+'Input Data'!B27</f>
        <v>70000</v>
      </c>
      <c r="AM62" s="7">
        <f>+AF62*'Input Data'!$B27</f>
        <v>1050000</v>
      </c>
      <c r="AN62" s="7">
        <f>+AG62*'Input Data'!$B27</f>
        <v>980000</v>
      </c>
      <c r="AO62" s="7">
        <f>+AH62*'Input Data'!$B27</f>
        <v>910000</v>
      </c>
      <c r="AP62" s="13">
        <f>+AI62*'Input Data'!$B27</f>
        <v>840000</v>
      </c>
    </row>
    <row r="63" spans="19:42" ht="13.5" thickBot="1">
      <c r="S63" s="7"/>
      <c r="T63" s="7"/>
      <c r="U63" s="7"/>
      <c r="V63" s="7"/>
      <c r="Y63" s="12" t="str">
        <f>+'Input Data'!A28</f>
        <v>Engineer</v>
      </c>
      <c r="Z63" s="68">
        <f>+Y50</f>
        <v>84.3314659350449</v>
      </c>
      <c r="AA63" s="2">
        <f>+AA50</f>
        <v>90.15410618939777</v>
      </c>
      <c r="AB63" s="2">
        <f>+AC50</f>
        <v>92.40410618939777</v>
      </c>
      <c r="AC63" s="51">
        <f>+AE50</f>
        <v>96.97709034397268</v>
      </c>
      <c r="AE63" s="12" t="str">
        <f>+'Input Data'!A28</f>
        <v>Engineer</v>
      </c>
      <c r="AF63" s="68">
        <f t="shared" si="35"/>
        <v>85</v>
      </c>
      <c r="AG63" s="2">
        <f t="shared" si="35"/>
        <v>91</v>
      </c>
      <c r="AH63" s="2">
        <f t="shared" si="35"/>
        <v>93</v>
      </c>
      <c r="AI63" s="51">
        <f t="shared" si="35"/>
        <v>97</v>
      </c>
      <c r="AK63" s="12" t="str">
        <f>+'Input Data'!A28</f>
        <v>Engineer</v>
      </c>
      <c r="AL63" s="78">
        <f>+'Input Data'!B28</f>
        <v>125000</v>
      </c>
      <c r="AM63" s="7">
        <f>+AF63*'Input Data'!$B28</f>
        <v>10625000</v>
      </c>
      <c r="AN63" s="7">
        <f>+AG63*'Input Data'!$B28</f>
        <v>11375000</v>
      </c>
      <c r="AO63" s="7">
        <f>+AH63*'Input Data'!$B28</f>
        <v>11625000</v>
      </c>
      <c r="AP63" s="13">
        <f>+AI63*'Input Data'!$B28</f>
        <v>12125000</v>
      </c>
    </row>
    <row r="64" spans="19:42" ht="13.5" thickBot="1">
      <c r="S64" s="27" t="s">
        <v>171</v>
      </c>
      <c r="T64" s="29" t="str">
        <f>+'Input Data'!A24</f>
        <v>Operator</v>
      </c>
      <c r="U64" s="52" t="str">
        <f>+'Input Data'!A25</f>
        <v>Supervisor</v>
      </c>
      <c r="V64" s="10" t="str">
        <f>+'Input Data'!A26</f>
        <v>Manager</v>
      </c>
      <c r="W64" s="55" t="str">
        <f>+'Input Data'!A27</f>
        <v>Overhead staff</v>
      </c>
      <c r="Y64" s="100" t="str">
        <f>+'Input Data'!A29</f>
        <v>Technicians</v>
      </c>
      <c r="Z64" s="69">
        <f>+Z50</f>
        <v>178.2903460694945</v>
      </c>
      <c r="AA64" s="28">
        <f>+AB50</f>
        <v>186.43224099565307</v>
      </c>
      <c r="AB64" s="28">
        <f>+AD50</f>
        <v>202.32442396576116</v>
      </c>
      <c r="AC64" s="67">
        <f>+AF50</f>
        <v>206.31941671256786</v>
      </c>
      <c r="AE64" s="100" t="str">
        <f>+'Input Data'!A29</f>
        <v>Technicians</v>
      </c>
      <c r="AF64" s="69">
        <f t="shared" si="35"/>
        <v>179</v>
      </c>
      <c r="AG64" s="28">
        <f t="shared" si="35"/>
        <v>187</v>
      </c>
      <c r="AH64" s="28">
        <f t="shared" si="35"/>
        <v>203</v>
      </c>
      <c r="AI64" s="67">
        <f t="shared" si="35"/>
        <v>207</v>
      </c>
      <c r="AK64" s="12" t="str">
        <f>+'Input Data'!A29</f>
        <v>Technicians</v>
      </c>
      <c r="AL64" s="78">
        <f>+'Input Data'!B29</f>
        <v>70000</v>
      </c>
      <c r="AM64" s="15">
        <f>+AF64*'Input Data'!$B29</f>
        <v>12530000</v>
      </c>
      <c r="AN64" s="15">
        <f>+AG64*'Input Data'!$B29</f>
        <v>13090000</v>
      </c>
      <c r="AO64" s="15">
        <f>+AH64*'Input Data'!$B29</f>
        <v>14210000</v>
      </c>
      <c r="AP64" s="16">
        <f>+AI64*'Input Data'!$B29</f>
        <v>14490000</v>
      </c>
    </row>
    <row r="65" spans="19:42" ht="12.75">
      <c r="S65" s="63" t="s">
        <v>121</v>
      </c>
      <c r="T65" s="402">
        <v>220</v>
      </c>
      <c r="U65" s="403">
        <v>13</v>
      </c>
      <c r="V65" s="404">
        <v>15</v>
      </c>
      <c r="W65" s="405">
        <v>8</v>
      </c>
      <c r="AE65" s="7"/>
      <c r="AF65" s="7"/>
      <c r="AG65" s="7"/>
      <c r="AH65" s="7"/>
      <c r="AI65" s="7"/>
      <c r="AK65" s="27" t="s">
        <v>181</v>
      </c>
      <c r="AL65" s="10"/>
      <c r="AM65" s="10">
        <f>+AM59+AM60+AM64</f>
        <v>45670000</v>
      </c>
      <c r="AN65" s="10">
        <f>+AN59+AN60+AN64</f>
        <v>39690000</v>
      </c>
      <c r="AO65" s="10">
        <f>+AO59+AO60+AO64</f>
        <v>38010000</v>
      </c>
      <c r="AP65" s="11">
        <f>+AP59+AP60+AP64</f>
        <v>32950000</v>
      </c>
    </row>
    <row r="66" spans="19:42" ht="12.75">
      <c r="S66" s="26" t="s">
        <v>126</v>
      </c>
      <c r="T66" s="406">
        <v>0.0076</v>
      </c>
      <c r="U66" s="407">
        <v>0.00046</v>
      </c>
      <c r="V66" s="408"/>
      <c r="W66" s="409">
        <v>0.0002122</v>
      </c>
      <c r="AK66" s="12" t="s">
        <v>182</v>
      </c>
      <c r="AL66" s="7"/>
      <c r="AM66" s="7">
        <f>+AM61+AM62+AM63</f>
        <v>13550000</v>
      </c>
      <c r="AN66" s="7">
        <f>+AN61+AN62+AN63</f>
        <v>14230000</v>
      </c>
      <c r="AO66" s="7">
        <f>+AO61+AO62+AO63</f>
        <v>14410000</v>
      </c>
      <c r="AP66" s="13">
        <f>+AP61+AP62+AP63</f>
        <v>14840000</v>
      </c>
    </row>
    <row r="67" spans="19:42" ht="13.5" thickBot="1">
      <c r="S67" s="14" t="s">
        <v>169</v>
      </c>
      <c r="T67" s="30">
        <f>+T65+T66*'Input Data'!$C$57</f>
        <v>410</v>
      </c>
      <c r="U67" s="54">
        <f>+U65+U66*'Input Data'!$C$57</f>
        <v>24.5</v>
      </c>
      <c r="V67" s="15">
        <f>+V65+V66*'Input Data'!$C$57</f>
        <v>15</v>
      </c>
      <c r="W67" s="66">
        <f>+W65+W66*'Input Data'!$C$57</f>
        <v>13.305</v>
      </c>
      <c r="AK67" s="14" t="s">
        <v>183</v>
      </c>
      <c r="AL67" s="15"/>
      <c r="AM67" s="15">
        <f>SUM(AM65:AM66)</f>
        <v>59220000</v>
      </c>
      <c r="AN67" s="15">
        <f>SUM(AN65:AN66)</f>
        <v>53920000</v>
      </c>
      <c r="AO67" s="15">
        <f>SUM(AO65:AO66)</f>
        <v>52420000</v>
      </c>
      <c r="AP67" s="16">
        <f>SUM(AP65:AP66)</f>
        <v>47790000</v>
      </c>
    </row>
    <row r="68" spans="19:22" ht="13.5" thickBot="1">
      <c r="S68" s="7"/>
      <c r="T68" s="7"/>
      <c r="U68" s="7"/>
      <c r="V68" s="7"/>
    </row>
    <row r="69" spans="19:42" ht="13.5" thickBot="1">
      <c r="S69" s="7"/>
      <c r="T69" s="7"/>
      <c r="U69" s="7"/>
      <c r="V69" s="7"/>
      <c r="Y69" s="19" t="s">
        <v>176</v>
      </c>
      <c r="Z69" s="17"/>
      <c r="AA69" s="17"/>
      <c r="AB69" s="17"/>
      <c r="AC69" s="18"/>
      <c r="AE69" s="19" t="s">
        <v>178</v>
      </c>
      <c r="AF69" s="17"/>
      <c r="AG69" s="17"/>
      <c r="AH69" s="17"/>
      <c r="AI69" s="18"/>
      <c r="AK69" s="19" t="s">
        <v>179</v>
      </c>
      <c r="AL69" s="17"/>
      <c r="AM69" s="17"/>
      <c r="AN69" s="17"/>
      <c r="AO69" s="17"/>
      <c r="AP69" s="18"/>
    </row>
    <row r="70" spans="19:42" ht="12.75">
      <c r="S70" s="27" t="s">
        <v>172</v>
      </c>
      <c r="T70" s="29" t="str">
        <f>+'Input Data'!A24</f>
        <v>Operator</v>
      </c>
      <c r="U70" s="52" t="str">
        <f>+'Input Data'!A25</f>
        <v>Supervisor</v>
      </c>
      <c r="V70" s="10" t="str">
        <f>+'Input Data'!A26</f>
        <v>Manager</v>
      </c>
      <c r="W70" s="55" t="str">
        <f>+'Input Data'!A27</f>
        <v>Overhead staff</v>
      </c>
      <c r="Y70" s="45" t="s">
        <v>127</v>
      </c>
      <c r="Z70" s="41" t="s">
        <v>128</v>
      </c>
      <c r="AA70" s="48" t="s">
        <v>129</v>
      </c>
      <c r="AB70" s="48" t="s">
        <v>130</v>
      </c>
      <c r="AC70" s="49" t="s">
        <v>131</v>
      </c>
      <c r="AE70" s="40" t="s">
        <v>127</v>
      </c>
      <c r="AF70" s="41" t="s">
        <v>271</v>
      </c>
      <c r="AG70" s="43" t="s">
        <v>272</v>
      </c>
      <c r="AH70" s="43" t="s">
        <v>273</v>
      </c>
      <c r="AI70" s="44" t="s">
        <v>274</v>
      </c>
      <c r="AK70" s="40" t="s">
        <v>127</v>
      </c>
      <c r="AL70" s="64" t="s">
        <v>180</v>
      </c>
      <c r="AM70" s="41" t="s">
        <v>271</v>
      </c>
      <c r="AN70" s="43" t="s">
        <v>272</v>
      </c>
      <c r="AO70" s="43" t="s">
        <v>273</v>
      </c>
      <c r="AP70" s="44" t="s">
        <v>274</v>
      </c>
    </row>
    <row r="71" spans="19:42" ht="12.75">
      <c r="S71" s="63" t="s">
        <v>121</v>
      </c>
      <c r="T71" s="402">
        <v>211</v>
      </c>
      <c r="U71" s="403">
        <v>13</v>
      </c>
      <c r="V71" s="404">
        <v>15</v>
      </c>
      <c r="W71" s="405">
        <v>8</v>
      </c>
      <c r="Y71" s="12" t="str">
        <f>+'Input Data'!A24</f>
        <v>Operator</v>
      </c>
      <c r="Z71" s="68">
        <f>+T61</f>
        <v>510.5</v>
      </c>
      <c r="AA71" s="2">
        <f>+T67</f>
        <v>410</v>
      </c>
      <c r="AB71" s="2">
        <f>+T73</f>
        <v>366</v>
      </c>
      <c r="AC71" s="51">
        <f>+T79</f>
        <v>285</v>
      </c>
      <c r="AE71" s="12" t="str">
        <f>+'Input Data'!A24</f>
        <v>Operator</v>
      </c>
      <c r="AF71" s="68">
        <f aca="true" t="shared" si="36" ref="AF71:AI76">+ROUNDUP(Z71,0)</f>
        <v>511</v>
      </c>
      <c r="AG71" s="2">
        <f t="shared" si="36"/>
        <v>410</v>
      </c>
      <c r="AH71" s="2">
        <f t="shared" si="36"/>
        <v>366</v>
      </c>
      <c r="AI71" s="51">
        <f t="shared" si="36"/>
        <v>285</v>
      </c>
      <c r="AK71" s="12" t="str">
        <f>+'Input Data'!A24</f>
        <v>Operator</v>
      </c>
      <c r="AL71" s="53">
        <f>+'Input Data'!B24</f>
        <v>60000</v>
      </c>
      <c r="AM71" s="7">
        <f aca="true" t="shared" si="37" ref="AM71:AP76">+AF71*$AL71</f>
        <v>30660000</v>
      </c>
      <c r="AN71" s="7">
        <f t="shared" si="37"/>
        <v>24600000</v>
      </c>
      <c r="AO71" s="7">
        <f t="shared" si="37"/>
        <v>21960000</v>
      </c>
      <c r="AP71" s="13">
        <f t="shared" si="37"/>
        <v>17100000</v>
      </c>
    </row>
    <row r="72" spans="19:42" ht="12.75">
      <c r="S72" s="26" t="s">
        <v>126</v>
      </c>
      <c r="T72" s="406">
        <v>0.0062</v>
      </c>
      <c r="U72" s="407">
        <v>0.00037</v>
      </c>
      <c r="V72" s="408"/>
      <c r="W72" s="410">
        <v>0.0001874</v>
      </c>
      <c r="Y72" s="12" t="str">
        <f>+'Input Data'!A25</f>
        <v>Supervisor</v>
      </c>
      <c r="Z72" s="68">
        <f>+U61</f>
        <v>30.25</v>
      </c>
      <c r="AA72" s="2">
        <f>+U67</f>
        <v>24.5</v>
      </c>
      <c r="AB72" s="2">
        <f>+U73</f>
        <v>22.25</v>
      </c>
      <c r="AC72" s="51">
        <f>+U79</f>
        <v>17</v>
      </c>
      <c r="AE72" s="12" t="str">
        <f>+'Input Data'!A25</f>
        <v>Supervisor</v>
      </c>
      <c r="AF72" s="68">
        <f t="shared" si="36"/>
        <v>31</v>
      </c>
      <c r="AG72" s="2">
        <f t="shared" si="36"/>
        <v>25</v>
      </c>
      <c r="AH72" s="2">
        <f t="shared" si="36"/>
        <v>23</v>
      </c>
      <c r="AI72" s="51">
        <f t="shared" si="36"/>
        <v>17</v>
      </c>
      <c r="AK72" s="12" t="str">
        <f>+'Input Data'!A25</f>
        <v>Supervisor</v>
      </c>
      <c r="AL72" s="53">
        <f>+'Input Data'!B25</f>
        <v>80000</v>
      </c>
      <c r="AM72" s="7">
        <f t="shared" si="37"/>
        <v>2480000</v>
      </c>
      <c r="AN72" s="7">
        <f t="shared" si="37"/>
        <v>2000000</v>
      </c>
      <c r="AO72" s="7">
        <f t="shared" si="37"/>
        <v>1840000</v>
      </c>
      <c r="AP72" s="13">
        <f t="shared" si="37"/>
        <v>1360000</v>
      </c>
    </row>
    <row r="73" spans="19:42" ht="13.5" thickBot="1">
      <c r="S73" s="14" t="s">
        <v>169</v>
      </c>
      <c r="T73" s="30">
        <f>+T71+T72*'Input Data'!$C$57</f>
        <v>366</v>
      </c>
      <c r="U73" s="54">
        <f>+U71+U72*'Input Data'!$C$57</f>
        <v>22.25</v>
      </c>
      <c r="V73" s="15">
        <f>+V71+V72*'Input Data'!$C$57</f>
        <v>15</v>
      </c>
      <c r="W73" s="66">
        <f>+W71+W72*'Input Data'!$C$57</f>
        <v>12.684999999999999</v>
      </c>
      <c r="Y73" s="12" t="str">
        <f>+'Input Data'!A26</f>
        <v>Manager</v>
      </c>
      <c r="Z73" s="68">
        <f>+V61</f>
        <v>15</v>
      </c>
      <c r="AA73" s="2">
        <f>+V67</f>
        <v>15</v>
      </c>
      <c r="AB73" s="2">
        <f>+V73</f>
        <v>15</v>
      </c>
      <c r="AC73" s="51">
        <f>+V79</f>
        <v>15</v>
      </c>
      <c r="AE73" s="12" t="str">
        <f>+'Input Data'!A26</f>
        <v>Manager</v>
      </c>
      <c r="AF73" s="68">
        <f t="shared" si="36"/>
        <v>15</v>
      </c>
      <c r="AG73" s="2">
        <f t="shared" si="36"/>
        <v>15</v>
      </c>
      <c r="AH73" s="2">
        <f t="shared" si="36"/>
        <v>15</v>
      </c>
      <c r="AI73" s="51">
        <f t="shared" si="36"/>
        <v>15</v>
      </c>
      <c r="AK73" s="12" t="str">
        <f>+'Input Data'!A26</f>
        <v>Manager</v>
      </c>
      <c r="AL73" s="53">
        <f>+'Input Data'!B26</f>
        <v>125000</v>
      </c>
      <c r="AM73" s="7">
        <f t="shared" si="37"/>
        <v>1875000</v>
      </c>
      <c r="AN73" s="7">
        <f t="shared" si="37"/>
        <v>1875000</v>
      </c>
      <c r="AO73" s="7">
        <f t="shared" si="37"/>
        <v>1875000</v>
      </c>
      <c r="AP73" s="13">
        <f t="shared" si="37"/>
        <v>1875000</v>
      </c>
    </row>
    <row r="74" spans="19:42" ht="12.75">
      <c r="S74" s="7"/>
      <c r="T74" s="7"/>
      <c r="U74" s="7"/>
      <c r="V74" s="7"/>
      <c r="Y74" s="12" t="str">
        <f>+'Input Data'!A27</f>
        <v>Overhead staff</v>
      </c>
      <c r="Z74" s="68">
        <f>+W61</f>
        <v>14.235</v>
      </c>
      <c r="AA74" s="2">
        <f>+W67</f>
        <v>13.305</v>
      </c>
      <c r="AB74" s="2">
        <f>+W73</f>
        <v>12.684999999999999</v>
      </c>
      <c r="AC74" s="51">
        <f>+W79</f>
        <v>11.3</v>
      </c>
      <c r="AE74" s="12" t="str">
        <f>+'Input Data'!A27</f>
        <v>Overhead staff</v>
      </c>
      <c r="AF74" s="68">
        <f t="shared" si="36"/>
        <v>15</v>
      </c>
      <c r="AG74" s="2">
        <f t="shared" si="36"/>
        <v>14</v>
      </c>
      <c r="AH74" s="2">
        <f t="shared" si="36"/>
        <v>13</v>
      </c>
      <c r="AI74" s="51">
        <f t="shared" si="36"/>
        <v>12</v>
      </c>
      <c r="AK74" s="12" t="str">
        <f>+'Input Data'!A27</f>
        <v>Overhead staff</v>
      </c>
      <c r="AL74" s="53">
        <f>+'Input Data'!B27</f>
        <v>70000</v>
      </c>
      <c r="AM74" s="7">
        <f t="shared" si="37"/>
        <v>1050000</v>
      </c>
      <c r="AN74" s="7">
        <f t="shared" si="37"/>
        <v>980000</v>
      </c>
      <c r="AO74" s="7">
        <f t="shared" si="37"/>
        <v>910000</v>
      </c>
      <c r="AP74" s="13">
        <f t="shared" si="37"/>
        <v>840000</v>
      </c>
    </row>
    <row r="75" spans="19:42" ht="13.5" thickBot="1">
      <c r="S75" s="7"/>
      <c r="T75" s="7"/>
      <c r="U75" s="7"/>
      <c r="V75" s="7"/>
      <c r="Y75" s="12" t="str">
        <f>+'Input Data'!A28</f>
        <v>Engineer</v>
      </c>
      <c r="Z75" s="68">
        <f>+AI50</f>
        <v>85.05178734109401</v>
      </c>
      <c r="AA75" s="2">
        <f>+AK50</f>
        <v>90.96446484487534</v>
      </c>
      <c r="AB75" s="2">
        <f>+AM50</f>
        <v>93.21446484487534</v>
      </c>
      <c r="AC75" s="51">
        <f>+AO50</f>
        <v>97.8775096595001</v>
      </c>
      <c r="AE75" s="12" t="str">
        <f>+'Input Data'!A28</f>
        <v>Engineer</v>
      </c>
      <c r="AF75" s="68">
        <f t="shared" si="36"/>
        <v>86</v>
      </c>
      <c r="AG75" s="2">
        <f t="shared" si="36"/>
        <v>91</v>
      </c>
      <c r="AH75" s="2">
        <f t="shared" si="36"/>
        <v>94</v>
      </c>
      <c r="AI75" s="51">
        <f t="shared" si="36"/>
        <v>98</v>
      </c>
      <c r="AK75" s="12" t="str">
        <f>+'Input Data'!A28</f>
        <v>Engineer</v>
      </c>
      <c r="AL75" s="53">
        <v>125000</v>
      </c>
      <c r="AM75" s="7">
        <f t="shared" si="37"/>
        <v>10750000</v>
      </c>
      <c r="AN75" s="7">
        <f t="shared" si="37"/>
        <v>11375000</v>
      </c>
      <c r="AO75" s="7">
        <f t="shared" si="37"/>
        <v>11750000</v>
      </c>
      <c r="AP75" s="13">
        <f t="shared" si="37"/>
        <v>12250000</v>
      </c>
    </row>
    <row r="76" spans="19:42" ht="13.5" thickBot="1">
      <c r="S76" s="27" t="s">
        <v>173</v>
      </c>
      <c r="T76" s="29" t="str">
        <f>+'Input Data'!A24</f>
        <v>Operator</v>
      </c>
      <c r="U76" s="52" t="str">
        <f>+'Input Data'!A25</f>
        <v>Supervisor</v>
      </c>
      <c r="V76" s="10" t="str">
        <f>+'Input Data'!A26</f>
        <v>Manager</v>
      </c>
      <c r="W76" s="55" t="str">
        <f>+'Input Data'!A27</f>
        <v>Overhead staff</v>
      </c>
      <c r="Y76" s="100" t="str">
        <f>+'Input Data'!A29</f>
        <v>Technicians</v>
      </c>
      <c r="Z76" s="69">
        <f>+AJ50</f>
        <v>183.08765556145403</v>
      </c>
      <c r="AA76" s="28">
        <f>+AL50</f>
        <v>191.1438655531205</v>
      </c>
      <c r="AB76" s="28">
        <f>+AN50</f>
        <v>206.95038586191953</v>
      </c>
      <c r="AC76" s="67">
        <f>+AP50</f>
        <v>210.3457177063793</v>
      </c>
      <c r="AE76" s="100" t="str">
        <f>+'Input Data'!A29</f>
        <v>Technicians</v>
      </c>
      <c r="AF76" s="69">
        <f t="shared" si="36"/>
        <v>184</v>
      </c>
      <c r="AG76" s="28">
        <f t="shared" si="36"/>
        <v>192</v>
      </c>
      <c r="AH76" s="28">
        <f t="shared" si="36"/>
        <v>207</v>
      </c>
      <c r="AI76" s="67">
        <f t="shared" si="36"/>
        <v>211</v>
      </c>
      <c r="AK76" s="12" t="str">
        <f>+'Input Data'!A29</f>
        <v>Technicians</v>
      </c>
      <c r="AL76" s="54">
        <v>70000</v>
      </c>
      <c r="AM76" s="15">
        <f t="shared" si="37"/>
        <v>12880000</v>
      </c>
      <c r="AN76" s="15">
        <f t="shared" si="37"/>
        <v>13440000</v>
      </c>
      <c r="AO76" s="15">
        <f t="shared" si="37"/>
        <v>14490000</v>
      </c>
      <c r="AP76" s="16">
        <f t="shared" si="37"/>
        <v>14770000</v>
      </c>
    </row>
    <row r="77" spans="19:42" ht="12.75">
      <c r="S77" s="63" t="s">
        <v>121</v>
      </c>
      <c r="T77" s="402">
        <v>200</v>
      </c>
      <c r="U77" s="403">
        <v>12</v>
      </c>
      <c r="V77" s="404">
        <v>15</v>
      </c>
      <c r="W77" s="405">
        <v>8</v>
      </c>
      <c r="AK77" s="27" t="s">
        <v>181</v>
      </c>
      <c r="AL77" s="10"/>
      <c r="AM77" s="10">
        <f>+AM59+AM60+AM76</f>
        <v>46020000</v>
      </c>
      <c r="AN77" s="10">
        <f>+AN59+AN60+AN76</f>
        <v>40040000</v>
      </c>
      <c r="AO77" s="10">
        <f>+AO59+AO60+AO76</f>
        <v>38290000</v>
      </c>
      <c r="AP77" s="11">
        <f>+AP59+AP60+AP76</f>
        <v>33230000</v>
      </c>
    </row>
    <row r="78" spans="19:42" ht="12.75">
      <c r="S78" s="26" t="s">
        <v>126</v>
      </c>
      <c r="T78" s="406">
        <v>0.0034</v>
      </c>
      <c r="U78" s="407">
        <v>0.0002</v>
      </c>
      <c r="V78" s="408"/>
      <c r="W78" s="410">
        <v>0.000132</v>
      </c>
      <c r="AK78" s="12" t="s">
        <v>182</v>
      </c>
      <c r="AL78" s="7"/>
      <c r="AM78" s="7">
        <f>+AM61+AM62+AM75</f>
        <v>13675000</v>
      </c>
      <c r="AN78" s="7">
        <f>+AN61+AN62+AN75</f>
        <v>14230000</v>
      </c>
      <c r="AO78" s="7">
        <f>+AO61+AO62+AO75</f>
        <v>14535000</v>
      </c>
      <c r="AP78" s="13">
        <f>+AP61+AP62+AP75</f>
        <v>14965000</v>
      </c>
    </row>
    <row r="79" spans="19:42" ht="13.5" thickBot="1">
      <c r="S79" s="14" t="s">
        <v>169</v>
      </c>
      <c r="T79" s="30">
        <f>+T77+T78*'Input Data'!$C$57</f>
        <v>285</v>
      </c>
      <c r="U79" s="54">
        <f>+U77+U78*'Input Data'!$C$57</f>
        <v>17</v>
      </c>
      <c r="V79" s="15">
        <f>+V77+V78*'Input Data'!$C$57</f>
        <v>15</v>
      </c>
      <c r="W79" s="56">
        <f>+W77+W78*'Input Data'!$C$57</f>
        <v>11.3</v>
      </c>
      <c r="AK79" s="14" t="s">
        <v>183</v>
      </c>
      <c r="AL79" s="15"/>
      <c r="AM79" s="15">
        <f>SUM(AM77:AM78)</f>
        <v>59695000</v>
      </c>
      <c r="AN79" s="15">
        <f>SUM(AN77:AN78)</f>
        <v>54270000</v>
      </c>
      <c r="AO79" s="15">
        <f>SUM(AO77:AO78)</f>
        <v>52825000</v>
      </c>
      <c r="AP79" s="16">
        <f>SUM(AP77:AP78)</f>
        <v>48195000</v>
      </c>
    </row>
    <row r="80" ht="12.75">
      <c r="W80"/>
    </row>
    <row r="81" ht="12.75">
      <c r="W81"/>
    </row>
    <row r="82" ht="12.75">
      <c r="W82"/>
    </row>
    <row r="83" ht="12.75">
      <c r="W83"/>
    </row>
    <row r="84" ht="13.5" thickBot="1">
      <c r="W84"/>
    </row>
    <row r="85" spans="23:42" ht="13.5" thickBot="1">
      <c r="W85"/>
      <c r="AK85" s="184" t="s">
        <v>136</v>
      </c>
      <c r="AL85" s="185"/>
      <c r="AM85" s="185"/>
      <c r="AN85" s="185"/>
      <c r="AO85" s="185"/>
      <c r="AP85" s="186"/>
    </row>
    <row r="86" spans="23:42" ht="13.5" thickBot="1">
      <c r="W86"/>
      <c r="AK86" s="187"/>
      <c r="AL86" s="188"/>
      <c r="AM86" s="231" t="s">
        <v>271</v>
      </c>
      <c r="AN86" s="190" t="s">
        <v>272</v>
      </c>
      <c r="AO86" s="232" t="s">
        <v>273</v>
      </c>
      <c r="AP86" s="190" t="s">
        <v>274</v>
      </c>
    </row>
    <row r="87" spans="23:42" ht="12.75">
      <c r="W87"/>
      <c r="AK87" s="184" t="s">
        <v>184</v>
      </c>
      <c r="AL87" s="185"/>
      <c r="AM87" s="184"/>
      <c r="AN87" s="184"/>
      <c r="AO87" s="184"/>
      <c r="AP87" s="195"/>
    </row>
    <row r="88" spans="23:42" ht="12.75">
      <c r="W88"/>
      <c r="AK88" s="187" t="s">
        <v>146</v>
      </c>
      <c r="AL88" s="188"/>
      <c r="AM88" s="196">
        <f aca="true" t="shared" si="38" ref="AM88:AP89">+AM65/WS/12/LY</f>
        <v>155.34013605442175</v>
      </c>
      <c r="AN88" s="196">
        <f t="shared" si="38"/>
        <v>134.99999999999997</v>
      </c>
      <c r="AO88" s="196">
        <f t="shared" si="38"/>
        <v>129.28571428571428</v>
      </c>
      <c r="AP88" s="197">
        <f t="shared" si="38"/>
        <v>112.07482993197279</v>
      </c>
    </row>
    <row r="89" spans="23:42" ht="13.5" thickBot="1">
      <c r="W89"/>
      <c r="AK89" s="187" t="s">
        <v>147</v>
      </c>
      <c r="AL89" s="188"/>
      <c r="AM89" s="196">
        <f t="shared" si="38"/>
        <v>46.08843537414966</v>
      </c>
      <c r="AN89" s="196">
        <f t="shared" si="38"/>
        <v>48.401360544217695</v>
      </c>
      <c r="AO89" s="196">
        <f t="shared" si="38"/>
        <v>49.01360544217687</v>
      </c>
      <c r="AP89" s="197">
        <f t="shared" si="38"/>
        <v>50.47619047619048</v>
      </c>
    </row>
    <row r="90" spans="23:42" ht="13.5" thickBot="1">
      <c r="W90"/>
      <c r="AK90" s="189" t="s">
        <v>210</v>
      </c>
      <c r="AL90" s="198"/>
      <c r="AM90" s="199">
        <f>SUM(AM88:AM89)</f>
        <v>201.42857142857142</v>
      </c>
      <c r="AN90" s="199">
        <f>SUM(AN88:AN89)</f>
        <v>183.40136054421765</v>
      </c>
      <c r="AO90" s="199">
        <f>SUM(AO88:AO89)</f>
        <v>178.29931972789115</v>
      </c>
      <c r="AP90" s="200">
        <f>SUM(AP88:AP89)</f>
        <v>162.55102040816325</v>
      </c>
    </row>
    <row r="91" spans="23:42" ht="12.75">
      <c r="W91"/>
      <c r="AK91" s="187" t="s">
        <v>185</v>
      </c>
      <c r="AL91" s="188"/>
      <c r="AM91" s="187"/>
      <c r="AN91" s="187"/>
      <c r="AO91" s="187"/>
      <c r="AP91" s="201"/>
    </row>
    <row r="92" spans="23:42" ht="12.75">
      <c r="W92"/>
      <c r="AK92" s="187" t="s">
        <v>146</v>
      </c>
      <c r="AL92" s="188"/>
      <c r="AM92" s="196">
        <f aca="true" t="shared" si="39" ref="AM92:AP93">+AM77/WS/12/LY</f>
        <v>156.53061224489798</v>
      </c>
      <c r="AN92" s="196">
        <f t="shared" si="39"/>
        <v>136.1904761904762</v>
      </c>
      <c r="AO92" s="196">
        <f t="shared" si="39"/>
        <v>130.23809523809524</v>
      </c>
      <c r="AP92" s="197">
        <f t="shared" si="39"/>
        <v>113.02721088435375</v>
      </c>
    </row>
    <row r="93" spans="23:42" ht="13.5" thickBot="1">
      <c r="W93"/>
      <c r="AK93" s="187" t="s">
        <v>147</v>
      </c>
      <c r="AL93" s="188"/>
      <c r="AM93" s="196">
        <f t="shared" si="39"/>
        <v>46.513605442176875</v>
      </c>
      <c r="AN93" s="196">
        <f t="shared" si="39"/>
        <v>48.401360544217695</v>
      </c>
      <c r="AO93" s="196">
        <f t="shared" si="39"/>
        <v>49.43877551020408</v>
      </c>
      <c r="AP93" s="197">
        <f t="shared" si="39"/>
        <v>50.90136054421769</v>
      </c>
    </row>
    <row r="94" spans="23:42" ht="13.5" thickBot="1">
      <c r="W94"/>
      <c r="AK94" s="189" t="s">
        <v>210</v>
      </c>
      <c r="AL94" s="198"/>
      <c r="AM94" s="199">
        <f>SUM(AM92:AM93)</f>
        <v>203.04421768707485</v>
      </c>
      <c r="AN94" s="199">
        <f>SUM(AN92:AN93)</f>
        <v>184.5918367346939</v>
      </c>
      <c r="AO94" s="199">
        <f>SUM(AO92:AO93)</f>
        <v>179.67687074829934</v>
      </c>
      <c r="AP94" s="200">
        <f>SUM(AP92:AP93)</f>
        <v>163.92857142857144</v>
      </c>
    </row>
    <row r="95" ht="12.75">
      <c r="W95"/>
    </row>
  </sheetData>
  <printOptions/>
  <pageMargins left="0.75" right="0.75" top="0.51" bottom="0.44"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4"/>
  <dimension ref="A1:O96"/>
  <sheetViews>
    <sheetView zoomScale="75" zoomScaleNormal="75" workbookViewId="0" topLeftCell="A1">
      <selection activeCell="C16" sqref="C16:J16"/>
    </sheetView>
  </sheetViews>
  <sheetFormatPr defaultColWidth="9.140625" defaultRowHeight="12.75"/>
  <cols>
    <col min="1" max="1" width="22.00390625" style="103" customWidth="1"/>
    <col min="2" max="2" width="20.421875" style="103" customWidth="1"/>
    <col min="3" max="3" width="12.7109375" style="103" customWidth="1"/>
    <col min="4" max="5" width="11.7109375" style="103" bestFit="1" customWidth="1"/>
    <col min="6" max="6" width="11.7109375" style="103" customWidth="1"/>
    <col min="7" max="7" width="11.28125" style="103" customWidth="1"/>
    <col min="8" max="9" width="12.57421875" style="103" bestFit="1" customWidth="1"/>
    <col min="10" max="10" width="10.421875" style="103" customWidth="1"/>
    <col min="11" max="11" width="12.57421875" style="103" bestFit="1" customWidth="1"/>
    <col min="12" max="13" width="12.57421875" style="0" bestFit="1" customWidth="1"/>
  </cols>
  <sheetData>
    <row r="1" spans="1:10" ht="16.5" thickBot="1">
      <c r="A1" s="138" t="s">
        <v>266</v>
      </c>
      <c r="B1" s="167" t="s">
        <v>157</v>
      </c>
      <c r="C1" s="342" t="s">
        <v>159</v>
      </c>
      <c r="D1" s="343"/>
      <c r="E1" s="343"/>
      <c r="F1" s="344"/>
      <c r="G1" s="342" t="s">
        <v>160</v>
      </c>
      <c r="H1" s="343"/>
      <c r="I1" s="343"/>
      <c r="J1" s="344"/>
    </row>
    <row r="2" spans="2:10" ht="13.5" thickBot="1">
      <c r="B2" s="170" t="s">
        <v>158</v>
      </c>
      <c r="C2" s="317" t="s">
        <v>271</v>
      </c>
      <c r="D2" s="318" t="s">
        <v>272</v>
      </c>
      <c r="E2" s="318" t="s">
        <v>273</v>
      </c>
      <c r="F2" s="319" t="s">
        <v>274</v>
      </c>
      <c r="G2" s="317" t="s">
        <v>271</v>
      </c>
      <c r="H2" s="318" t="s">
        <v>272</v>
      </c>
      <c r="I2" s="318" t="s">
        <v>273</v>
      </c>
      <c r="J2" s="319" t="s">
        <v>274</v>
      </c>
    </row>
    <row r="3" spans="2:10" ht="12.75">
      <c r="B3" s="171" t="s">
        <v>143</v>
      </c>
      <c r="C3" s="345">
        <f>+'Expense Cost Calculation'!H55</f>
        <v>601.2494918438941</v>
      </c>
      <c r="D3" s="346">
        <f>+C3</f>
        <v>601.2494918438941</v>
      </c>
      <c r="E3" s="346">
        <f>+C3</f>
        <v>601.2494918438941</v>
      </c>
      <c r="F3" s="347">
        <f>+C3</f>
        <v>601.2494918438941</v>
      </c>
      <c r="G3" s="345">
        <f>+'Expense Cost Calculation'!J55</f>
        <v>653.7600000000001</v>
      </c>
      <c r="H3" s="346">
        <f>+G3</f>
        <v>653.7600000000001</v>
      </c>
      <c r="I3" s="346">
        <f>+G3</f>
        <v>653.7600000000001</v>
      </c>
      <c r="J3" s="347">
        <f>+G3</f>
        <v>653.7600000000001</v>
      </c>
    </row>
    <row r="4" spans="2:10" ht="12.75">
      <c r="B4" s="171" t="s">
        <v>144</v>
      </c>
      <c r="C4" s="345">
        <f>+'Expense Cost Calculation'!I55</f>
        <v>155.87949788545404</v>
      </c>
      <c r="D4" s="346">
        <f>+C4</f>
        <v>155.87949788545404</v>
      </c>
      <c r="E4" s="346">
        <f>+C4</f>
        <v>155.87949788545404</v>
      </c>
      <c r="F4" s="347">
        <f>+C4</f>
        <v>155.87949788545404</v>
      </c>
      <c r="G4" s="345">
        <f>+'Expense Cost Calculation'!K55</f>
        <v>169.4933333333334</v>
      </c>
      <c r="H4" s="346">
        <f>+G4</f>
        <v>169.4933333333334</v>
      </c>
      <c r="I4" s="346">
        <f>+G4</f>
        <v>169.4933333333334</v>
      </c>
      <c r="J4" s="347">
        <f>+G4</f>
        <v>169.4933333333334</v>
      </c>
    </row>
    <row r="5" spans="2:10" ht="12.75">
      <c r="B5" s="171" t="s">
        <v>145</v>
      </c>
      <c r="C5" s="345">
        <v>0</v>
      </c>
      <c r="D5" s="346">
        <v>0</v>
      </c>
      <c r="E5" s="346">
        <v>0</v>
      </c>
      <c r="F5" s="347">
        <v>0</v>
      </c>
      <c r="G5" s="345">
        <v>0</v>
      </c>
      <c r="H5" s="346">
        <v>0</v>
      </c>
      <c r="I5" s="346">
        <v>0</v>
      </c>
      <c r="J5" s="347">
        <v>0</v>
      </c>
    </row>
    <row r="6" spans="2:10" ht="12.75">
      <c r="B6" s="171" t="s">
        <v>146</v>
      </c>
      <c r="C6" s="345">
        <f>+'Expense Cost Calculation'!AM88</f>
        <v>155.34013605442175</v>
      </c>
      <c r="D6" s="346">
        <f>+'Expense Cost Calculation'!AN88</f>
        <v>134.99999999999997</v>
      </c>
      <c r="E6" s="346">
        <f>+'Expense Cost Calculation'!AO88</f>
        <v>129.28571428571428</v>
      </c>
      <c r="F6" s="347">
        <f>+'Expense Cost Calculation'!AP88</f>
        <v>112.07482993197279</v>
      </c>
      <c r="G6" s="345">
        <f>+'Expense Cost Calculation'!AM92</f>
        <v>156.53061224489798</v>
      </c>
      <c r="H6" s="346">
        <f>+'Expense Cost Calculation'!AN92</f>
        <v>136.1904761904762</v>
      </c>
      <c r="I6" s="346">
        <f>+'Expense Cost Calculation'!AO92</f>
        <v>130.23809523809524</v>
      </c>
      <c r="J6" s="347">
        <f>+'Expense Cost Calculation'!AP92</f>
        <v>113.02721088435375</v>
      </c>
    </row>
    <row r="7" spans="2:10" ht="12.75">
      <c r="B7" s="171" t="s">
        <v>147</v>
      </c>
      <c r="C7" s="345">
        <f>+'Expense Cost Calculation'!AM89</f>
        <v>46.08843537414966</v>
      </c>
      <c r="D7" s="346">
        <f>+'Expense Cost Calculation'!AN89</f>
        <v>48.401360544217695</v>
      </c>
      <c r="E7" s="346">
        <f>+'Expense Cost Calculation'!AO89</f>
        <v>49.01360544217687</v>
      </c>
      <c r="F7" s="347">
        <f>+'Expense Cost Calculation'!AP89</f>
        <v>50.47619047619048</v>
      </c>
      <c r="G7" s="345">
        <f>+'Expense Cost Calculation'!AM93</f>
        <v>46.513605442176875</v>
      </c>
      <c r="H7" s="346">
        <f>+'Expense Cost Calculation'!AN93</f>
        <v>48.401360544217695</v>
      </c>
      <c r="I7" s="346">
        <f>+'Expense Cost Calculation'!AO93</f>
        <v>49.43877551020408</v>
      </c>
      <c r="J7" s="347">
        <f>+'Expense Cost Calculation'!AP93</f>
        <v>50.90136054421769</v>
      </c>
    </row>
    <row r="8" spans="2:10" ht="12.75">
      <c r="B8" s="171" t="s">
        <v>148</v>
      </c>
      <c r="C8" s="345">
        <f>+'Expense Cost Calculation'!BJ55</f>
        <v>170.18835406870346</v>
      </c>
      <c r="D8" s="346">
        <f>+'Expense Cost Calculation'!BK55</f>
        <v>170.18835406870346</v>
      </c>
      <c r="E8" s="346">
        <f>+'Expense Cost Calculation'!BL55</f>
        <v>170.18835406870346</v>
      </c>
      <c r="F8" s="347">
        <f>+'Expense Cost Calculation'!BM55</f>
        <v>170.18835406870346</v>
      </c>
      <c r="G8" s="345">
        <f>+'Expense Cost Calculation'!BR55</f>
        <v>185.72816326530614</v>
      </c>
      <c r="H8" s="346">
        <f>+'Expense Cost Calculation'!BS55</f>
        <v>185.72816326530614</v>
      </c>
      <c r="I8" s="346">
        <f>+'Expense Cost Calculation'!BT55</f>
        <v>185.72816326530614</v>
      </c>
      <c r="J8" s="347">
        <f>+'Expense Cost Calculation'!BU55</f>
        <v>185.72816326530614</v>
      </c>
    </row>
    <row r="9" spans="2:10" ht="12.75">
      <c r="B9" s="171" t="s">
        <v>149</v>
      </c>
      <c r="C9" s="345">
        <f>+'Expense Cost Calculation'!BJ56</f>
        <v>5.895185419019467</v>
      </c>
      <c r="D9" s="346">
        <f>+'Expense Cost Calculation'!BK56</f>
        <v>6.155861184271315</v>
      </c>
      <c r="E9" s="346">
        <f>+'Expense Cost Calculation'!BL56</f>
        <v>6.434349559091765</v>
      </c>
      <c r="F9" s="347">
        <f>+'Expense Cost Calculation'!BM56</f>
        <v>6.585151798936037</v>
      </c>
      <c r="G9" s="345">
        <f>+'Expense Cost Calculation'!BR56</f>
        <v>5.985890337726433</v>
      </c>
      <c r="H9" s="346">
        <f>+'Expense Cost Calculation'!BS56</f>
        <v>6.247938604296853</v>
      </c>
      <c r="I9" s="346">
        <f>+'Expense Cost Calculation'!BT56</f>
        <v>6.525181374093167</v>
      </c>
      <c r="J9" s="347">
        <f>+'Expense Cost Calculation'!BU56</f>
        <v>6.66988316593026</v>
      </c>
    </row>
    <row r="10" spans="2:10" ht="12.75">
      <c r="B10" s="171" t="s">
        <v>150</v>
      </c>
      <c r="C10" s="345">
        <f>+'Process Data'!$D$32</f>
        <v>200</v>
      </c>
      <c r="D10" s="346">
        <f>+'Process Data'!$D$32</f>
        <v>200</v>
      </c>
      <c r="E10" s="346">
        <f>+'Process Data'!$D$32</f>
        <v>200</v>
      </c>
      <c r="F10" s="347">
        <f>+'Process Data'!$D$32</f>
        <v>200</v>
      </c>
      <c r="G10" s="345">
        <f>+'Process Data'!$D$32</f>
        <v>200</v>
      </c>
      <c r="H10" s="346">
        <f>+'Process Data'!$D$32</f>
        <v>200</v>
      </c>
      <c r="I10" s="346">
        <f>+'Process Data'!$D$32</f>
        <v>200</v>
      </c>
      <c r="J10" s="347">
        <f>+'Process Data'!$D$32</f>
        <v>200</v>
      </c>
    </row>
    <row r="11" spans="2:10" ht="12.75">
      <c r="B11" s="171" t="s">
        <v>151</v>
      </c>
      <c r="C11" s="345">
        <f>+'Process Data'!$C$32</f>
        <v>0.00015889115646258446</v>
      </c>
      <c r="D11" s="346">
        <f>+'Process Data'!$C$32</f>
        <v>0.00015889115646258446</v>
      </c>
      <c r="E11" s="346">
        <f>+'Process Data'!$C$32</f>
        <v>0.00015889115646258446</v>
      </c>
      <c r="F11" s="347">
        <f>+'Process Data'!$C$32</f>
        <v>0.00015889115646258446</v>
      </c>
      <c r="G11" s="345">
        <f>+'Process Data'!$C$32</f>
        <v>0.00015889115646258446</v>
      </c>
      <c r="H11" s="346">
        <f>+'Process Data'!$C$32</f>
        <v>0.00015889115646258446</v>
      </c>
      <c r="I11" s="346">
        <f>+'Process Data'!$C$32</f>
        <v>0.00015889115646258446</v>
      </c>
      <c r="J11" s="347">
        <f>+'Process Data'!$C$32</f>
        <v>0.00015889115646258446</v>
      </c>
    </row>
    <row r="12" spans="2:10" ht="12.75">
      <c r="B12" s="171" t="s">
        <v>152</v>
      </c>
      <c r="C12" s="345">
        <v>0</v>
      </c>
      <c r="D12" s="346">
        <v>0</v>
      </c>
      <c r="E12" s="346">
        <v>0</v>
      </c>
      <c r="F12" s="347">
        <v>0</v>
      </c>
      <c r="G12" s="345">
        <v>0</v>
      </c>
      <c r="H12" s="346">
        <v>0</v>
      </c>
      <c r="I12" s="346">
        <v>0</v>
      </c>
      <c r="J12" s="347">
        <v>0</v>
      </c>
    </row>
    <row r="13" spans="2:10" ht="12.75">
      <c r="B13" s="171" t="s">
        <v>153</v>
      </c>
      <c r="C13" s="345">
        <v>0</v>
      </c>
      <c r="D13" s="346">
        <v>0</v>
      </c>
      <c r="E13" s="346">
        <v>0</v>
      </c>
      <c r="F13" s="347">
        <v>0</v>
      </c>
      <c r="G13" s="345">
        <v>0</v>
      </c>
      <c r="H13" s="346">
        <v>0</v>
      </c>
      <c r="I13" s="346">
        <v>0</v>
      </c>
      <c r="J13" s="347">
        <v>0</v>
      </c>
    </row>
    <row r="14" spans="2:10" ht="12.75">
      <c r="B14" s="171" t="s">
        <v>154</v>
      </c>
      <c r="C14" s="345">
        <v>0</v>
      </c>
      <c r="D14" s="346">
        <v>0</v>
      </c>
      <c r="E14" s="346">
        <v>0</v>
      </c>
      <c r="F14" s="347">
        <v>0</v>
      </c>
      <c r="G14" s="345">
        <v>0</v>
      </c>
      <c r="H14" s="346">
        <v>0</v>
      </c>
      <c r="I14" s="346">
        <v>0</v>
      </c>
      <c r="J14" s="347">
        <v>0</v>
      </c>
    </row>
    <row r="15" spans="2:10" ht="12.75">
      <c r="B15" s="172" t="s">
        <v>155</v>
      </c>
      <c r="C15" s="348">
        <v>0</v>
      </c>
      <c r="D15" s="349">
        <v>0</v>
      </c>
      <c r="E15" s="349">
        <v>0</v>
      </c>
      <c r="F15" s="350">
        <v>0</v>
      </c>
      <c r="G15" s="348">
        <v>0</v>
      </c>
      <c r="H15" s="349">
        <v>0</v>
      </c>
      <c r="I15" s="349">
        <v>0</v>
      </c>
      <c r="J15" s="350">
        <v>0</v>
      </c>
    </row>
    <row r="16" spans="2:10" ht="13.5" thickBot="1">
      <c r="B16" s="173" t="s">
        <v>156</v>
      </c>
      <c r="C16" s="351">
        <f aca="true" t="shared" si="0" ref="C16:J16">SUM(C3:C15)</f>
        <v>1334.6412595367988</v>
      </c>
      <c r="D16" s="352">
        <f t="shared" si="0"/>
        <v>1316.874724417697</v>
      </c>
      <c r="E16" s="352">
        <f t="shared" si="0"/>
        <v>1312.051171976191</v>
      </c>
      <c r="F16" s="353">
        <f t="shared" si="0"/>
        <v>1296.4536748963073</v>
      </c>
      <c r="G16" s="351">
        <f t="shared" si="0"/>
        <v>1418.0117635145975</v>
      </c>
      <c r="H16" s="352">
        <f t="shared" si="0"/>
        <v>1399.8214308287868</v>
      </c>
      <c r="I16" s="352">
        <f t="shared" si="0"/>
        <v>1395.1837076121885</v>
      </c>
      <c r="J16" s="353">
        <f t="shared" si="0"/>
        <v>1379.5801100842978</v>
      </c>
    </row>
    <row r="17" spans="8:15" ht="12.75">
      <c r="H17" s="174"/>
      <c r="I17" s="174"/>
      <c r="J17" s="174"/>
      <c r="K17" s="174"/>
      <c r="L17" s="82"/>
      <c r="M17" s="82"/>
      <c r="N17" s="82"/>
      <c r="O17" s="82"/>
    </row>
    <row r="18" spans="8:15" ht="12.75">
      <c r="H18" s="174"/>
      <c r="I18" s="174"/>
      <c r="J18" s="174"/>
      <c r="K18" s="174"/>
      <c r="L18" s="82"/>
      <c r="M18" s="82"/>
      <c r="N18" s="82"/>
      <c r="O18" s="82"/>
    </row>
    <row r="19" spans="1:15" ht="16.5" thickBot="1">
      <c r="A19" s="138" t="s">
        <v>233</v>
      </c>
      <c r="B19" s="166"/>
      <c r="G19" s="166"/>
      <c r="H19" s="174"/>
      <c r="I19" s="174"/>
      <c r="L19" s="82"/>
      <c r="M19" s="82"/>
      <c r="N19" s="82"/>
      <c r="O19" s="82"/>
    </row>
    <row r="20" spans="2:15" ht="12.75">
      <c r="B20" s="175" t="s">
        <v>214</v>
      </c>
      <c r="C20" s="176">
        <f>+DOUT*LIFE/30-DOUT*RT/30*(1-(Y0/YF))*(1-(1/(1-EXP(-b*RT))-1/(b*RT)))</f>
        <v>1410144.6174008963</v>
      </c>
      <c r="L20" s="82"/>
      <c r="M20" s="82"/>
      <c r="N20" s="82"/>
      <c r="O20" s="82"/>
    </row>
    <row r="21" spans="2:15" ht="13.5" thickBot="1">
      <c r="B21" s="177"/>
      <c r="C21" s="178"/>
      <c r="L21" s="82"/>
      <c r="M21" s="82"/>
      <c r="N21" s="82"/>
      <c r="O21" s="82"/>
    </row>
    <row r="22" spans="12:15" ht="12.75">
      <c r="L22" s="82"/>
      <c r="M22" s="82"/>
      <c r="N22" s="82"/>
      <c r="O22" s="82"/>
    </row>
    <row r="23" spans="8:15" ht="12.75">
      <c r="H23" s="174"/>
      <c r="I23" s="174"/>
      <c r="J23" s="174"/>
      <c r="K23" s="174"/>
      <c r="L23" s="82"/>
      <c r="M23" s="82"/>
      <c r="N23" s="82"/>
      <c r="O23" s="82"/>
    </row>
    <row r="24" spans="1:15" ht="16.5" thickBot="1">
      <c r="A24" s="138" t="s">
        <v>229</v>
      </c>
      <c r="H24" s="174"/>
      <c r="I24" s="174"/>
      <c r="J24" s="174"/>
      <c r="K24" s="174"/>
      <c r="L24" s="82"/>
      <c r="M24" s="82"/>
      <c r="N24" s="82"/>
      <c r="O24" s="82"/>
    </row>
    <row r="25" spans="2:10" ht="13.5" thickBot="1">
      <c r="B25" s="170"/>
      <c r="C25" s="170" t="s">
        <v>516</v>
      </c>
      <c r="D25" s="168"/>
      <c r="E25" s="168"/>
      <c r="F25" s="169"/>
      <c r="G25" s="170" t="s">
        <v>204</v>
      </c>
      <c r="H25" s="168"/>
      <c r="I25" s="168"/>
      <c r="J25" s="169"/>
    </row>
    <row r="26" spans="2:10" ht="13.5" thickBot="1">
      <c r="B26" s="170" t="s">
        <v>232</v>
      </c>
      <c r="C26" s="317" t="s">
        <v>271</v>
      </c>
      <c r="D26" s="318" t="s">
        <v>272</v>
      </c>
      <c r="E26" s="318" t="s">
        <v>273</v>
      </c>
      <c r="F26" s="319" t="s">
        <v>274</v>
      </c>
      <c r="G26" s="317" t="s">
        <v>271</v>
      </c>
      <c r="H26" s="318" t="s">
        <v>272</v>
      </c>
      <c r="I26" s="318" t="s">
        <v>273</v>
      </c>
      <c r="J26" s="319" t="s">
        <v>274</v>
      </c>
    </row>
    <row r="27" spans="2:10" ht="12.75">
      <c r="B27" s="171" t="s">
        <v>240</v>
      </c>
      <c r="C27" s="321">
        <f>'Total Cost'!C16</f>
        <v>1334.6412595367988</v>
      </c>
      <c r="D27" s="322">
        <f>'Total Cost'!D16</f>
        <v>1316.874724417697</v>
      </c>
      <c r="E27" s="322">
        <f>'Total Cost'!E16</f>
        <v>1312.051171976191</v>
      </c>
      <c r="F27" s="323">
        <f>'Total Cost'!F16</f>
        <v>1296.4536748963073</v>
      </c>
      <c r="G27" s="321">
        <f>'Total Cost'!G16</f>
        <v>1418.0117635145975</v>
      </c>
      <c r="H27" s="322">
        <f>'Total Cost'!H16</f>
        <v>1399.8214308287868</v>
      </c>
      <c r="I27" s="322">
        <f>'Total Cost'!I16</f>
        <v>1395.1837076121885</v>
      </c>
      <c r="J27" s="323">
        <f>'Total Cost'!J16</f>
        <v>1379.5801100842978</v>
      </c>
    </row>
    <row r="28" spans="2:14" ht="12.75">
      <c r="B28" s="171"/>
      <c r="C28" s="324"/>
      <c r="D28" s="325"/>
      <c r="E28" s="325"/>
      <c r="F28" s="326"/>
      <c r="G28" s="324"/>
      <c r="H28" s="325"/>
      <c r="I28" s="325"/>
      <c r="J28" s="326"/>
      <c r="N28" s="81"/>
    </row>
    <row r="29" spans="2:14" ht="12.75">
      <c r="B29" s="171" t="s">
        <v>226</v>
      </c>
      <c r="C29" s="324">
        <f>+C27*12*'Input Data'!$C$57</f>
        <v>400392377.86103964</v>
      </c>
      <c r="D29" s="325">
        <f>+D27*12*'Input Data'!$C$57</f>
        <v>395062417.3253091</v>
      </c>
      <c r="E29" s="325">
        <f>+E27*12*'Input Data'!$C$57</f>
        <v>393615351.5928573</v>
      </c>
      <c r="F29" s="326">
        <f>+F27*12*'Input Data'!$C$57</f>
        <v>388936102.4688922</v>
      </c>
      <c r="G29" s="324">
        <f>+G27*12*'Input Data'!$C$57</f>
        <v>425403529.0543792</v>
      </c>
      <c r="H29" s="325">
        <f>+H27*12*'Input Data'!$C$57</f>
        <v>419946429.248636</v>
      </c>
      <c r="I29" s="325">
        <f>+I27*12*'Input Data'!$C$57</f>
        <v>418555112.2836566</v>
      </c>
      <c r="J29" s="326">
        <f>+J27*12*'Input Data'!$C$57</f>
        <v>413874033.0252893</v>
      </c>
      <c r="N29" s="82"/>
    </row>
    <row r="30" spans="2:14" ht="12.75">
      <c r="B30" s="171"/>
      <c r="C30" s="324"/>
      <c r="D30" s="325"/>
      <c r="E30" s="325"/>
      <c r="F30" s="326"/>
      <c r="G30" s="324"/>
      <c r="H30" s="325"/>
      <c r="I30" s="325"/>
      <c r="J30" s="326"/>
      <c r="N30" s="82"/>
    </row>
    <row r="31" spans="2:14" ht="13.5" thickBot="1">
      <c r="B31" s="180" t="s">
        <v>227</v>
      </c>
      <c r="C31" s="330">
        <f>+'Input Data'!$C$48/360*C29/$C$20</f>
        <v>1419.685516365767</v>
      </c>
      <c r="D31" s="331">
        <f>+'Input Data'!$C$48/360*D29/$C$20</f>
        <v>1400.786885438272</v>
      </c>
      <c r="E31" s="331">
        <f>+'Input Data'!$C$48/360*E29/$C$20</f>
        <v>1395.655972925487</v>
      </c>
      <c r="F31" s="332">
        <f>+'Input Data'!$C$48/360*F29/$C$20</f>
        <v>1379.0645926293666</v>
      </c>
      <c r="G31" s="330">
        <f>+'Input Data'!$C$48/360*G29/$C$20</f>
        <v>1508.3684460621507</v>
      </c>
      <c r="H31" s="331">
        <f>+'Input Data'!$C$48/360*H29/$C$20</f>
        <v>1489.0190128962056</v>
      </c>
      <c r="I31" s="331">
        <f>+'Input Data'!$C$48/360*I29/$C$20</f>
        <v>1484.0857707740472</v>
      </c>
      <c r="J31" s="332">
        <f>+'Input Data'!$C$48/360*J29/$C$20</f>
        <v>1467.4879013051866</v>
      </c>
      <c r="N31" s="82"/>
    </row>
    <row r="32" ht="12.75">
      <c r="N32" s="82"/>
    </row>
    <row r="33" spans="1:14" ht="16.5" thickBot="1">
      <c r="A33" s="224" t="s">
        <v>230</v>
      </c>
      <c r="B33" s="174"/>
      <c r="N33" s="83"/>
    </row>
    <row r="34" spans="2:14" ht="12.75">
      <c r="B34" s="175" t="s">
        <v>217</v>
      </c>
      <c r="C34" s="176">
        <f>+'Input Data'!C51*'Input Data'!C58/30*((1-EXP(-'Input Data'!C60*'Input Data'!C48))/'Input Data'!C60-EXP(-'Input Data'!C60*('Input Data'!C53+'Input Data'!C56))*((EXP(-'Input Data'!C60*'Input Data'!C49)-EXP(-'Input Data'!C60*'Input Data'!C48))/'Input Data'!C60+('Input Data'!C47/'Input Data'!C46)*(1-EXP(-'Input Data'!C60*'Input Data'!C49))/'Input Data'!C60+(1-'Input Data'!C47/'Input Data'!C46)/(1-EXP(-'Input Data'!C59*'Input Data'!C49))*((1-EXP(-'Input Data'!C60*'Input Data'!C49))/'Input Data'!C60-(1-EXP(-('Input Data'!C60+'Input Data'!C59)*'Input Data'!C49))/('Input Data'!C60+'Input Data'!C59))))</f>
        <v>965419560.3764682</v>
      </c>
      <c r="N34" s="82"/>
    </row>
    <row r="35" spans="2:14" ht="12.75">
      <c r="B35" s="171"/>
      <c r="C35" s="179"/>
      <c r="N35" s="82"/>
    </row>
    <row r="36" spans="2:14" ht="13.5" thickBot="1">
      <c r="B36" s="180" t="s">
        <v>256</v>
      </c>
      <c r="C36" s="181">
        <f>+C34/C20</f>
        <v>684.6245047943227</v>
      </c>
      <c r="N36" s="82"/>
    </row>
    <row r="38" ht="16.5" thickBot="1">
      <c r="A38" s="138" t="s">
        <v>231</v>
      </c>
    </row>
    <row r="39" spans="2:10" ht="13.5" thickBot="1">
      <c r="B39" s="175"/>
      <c r="C39" s="175" t="s">
        <v>516</v>
      </c>
      <c r="D39" s="182"/>
      <c r="E39" s="182"/>
      <c r="F39" s="176"/>
      <c r="G39" s="175" t="s">
        <v>204</v>
      </c>
      <c r="H39" s="182"/>
      <c r="I39" s="182"/>
      <c r="J39" s="176"/>
    </row>
    <row r="40" spans="2:10" ht="13.5" thickBot="1">
      <c r="B40" s="170" t="s">
        <v>232</v>
      </c>
      <c r="C40" s="317" t="s">
        <v>271</v>
      </c>
      <c r="D40" s="318" t="s">
        <v>272</v>
      </c>
      <c r="E40" s="318" t="s">
        <v>273</v>
      </c>
      <c r="F40" s="319" t="s">
        <v>274</v>
      </c>
      <c r="G40" s="317" t="s">
        <v>271</v>
      </c>
      <c r="H40" s="318" t="s">
        <v>272</v>
      </c>
      <c r="I40" s="318" t="s">
        <v>273</v>
      </c>
      <c r="J40" s="319" t="s">
        <v>274</v>
      </c>
    </row>
    <row r="41" spans="2:10" ht="13.5" thickBot="1">
      <c r="B41" s="206" t="s">
        <v>228</v>
      </c>
      <c r="C41" s="354">
        <f aca="true" t="shared" si="1" ref="C41:J41">+$C$36+C31</f>
        <v>2104.3100211600895</v>
      </c>
      <c r="D41" s="355">
        <f t="shared" si="1"/>
        <v>2085.411390232595</v>
      </c>
      <c r="E41" s="355">
        <f t="shared" si="1"/>
        <v>2080.28047771981</v>
      </c>
      <c r="F41" s="356">
        <f t="shared" si="1"/>
        <v>2063.6890974236894</v>
      </c>
      <c r="G41" s="354">
        <f t="shared" si="1"/>
        <v>2192.9929508564733</v>
      </c>
      <c r="H41" s="355">
        <f t="shared" si="1"/>
        <v>2173.6435176905284</v>
      </c>
      <c r="I41" s="355">
        <f t="shared" si="1"/>
        <v>2168.71027556837</v>
      </c>
      <c r="J41" s="356">
        <f t="shared" si="1"/>
        <v>2152.1124060995094</v>
      </c>
    </row>
    <row r="43" ht="15.75">
      <c r="A43" s="138" t="s">
        <v>407</v>
      </c>
    </row>
    <row r="44" ht="13.5" thickBot="1"/>
    <row r="45" spans="1:10" ht="12.75" customHeight="1" thickBot="1">
      <c r="A45" s="138"/>
      <c r="B45" s="175"/>
      <c r="C45" s="175" t="s">
        <v>516</v>
      </c>
      <c r="D45" s="182"/>
      <c r="E45" s="182"/>
      <c r="F45" s="176"/>
      <c r="G45" s="175" t="s">
        <v>204</v>
      </c>
      <c r="H45" s="182"/>
      <c r="I45" s="182"/>
      <c r="J45" s="176"/>
    </row>
    <row r="46" spans="2:10" ht="13.5" thickBot="1">
      <c r="B46" s="170" t="s">
        <v>232</v>
      </c>
      <c r="C46" s="317" t="s">
        <v>271</v>
      </c>
      <c r="D46" s="318" t="s">
        <v>272</v>
      </c>
      <c r="E46" s="318" t="s">
        <v>273</v>
      </c>
      <c r="F46" s="319" t="s">
        <v>274</v>
      </c>
      <c r="G46" s="317" t="s">
        <v>271</v>
      </c>
      <c r="H46" s="318" t="s">
        <v>272</v>
      </c>
      <c r="I46" s="318" t="s">
        <v>273</v>
      </c>
      <c r="J46" s="319" t="s">
        <v>274</v>
      </c>
    </row>
    <row r="47" spans="2:10" ht="12.75">
      <c r="B47" s="276" t="s">
        <v>515</v>
      </c>
      <c r="C47" s="333">
        <f aca="true" t="shared" si="2" ref="C47:J47">C$29*LIFE/360</f>
        <v>2001961889.3051982</v>
      </c>
      <c r="D47" s="334">
        <f t="shared" si="2"/>
        <v>1975312086.6265454</v>
      </c>
      <c r="E47" s="334">
        <f t="shared" si="2"/>
        <v>1968076757.9642866</v>
      </c>
      <c r="F47" s="335">
        <f t="shared" si="2"/>
        <v>1944680512.344461</v>
      </c>
      <c r="G47" s="333">
        <f t="shared" si="2"/>
        <v>2127017645.2718961</v>
      </c>
      <c r="H47" s="334">
        <f t="shared" si="2"/>
        <v>2099732146.24318</v>
      </c>
      <c r="I47" s="334">
        <f t="shared" si="2"/>
        <v>2092775561.418283</v>
      </c>
      <c r="J47" s="335">
        <f t="shared" si="2"/>
        <v>2069370165.1264465</v>
      </c>
    </row>
    <row r="48" spans="2:10" ht="12.75">
      <c r="B48" s="277" t="s">
        <v>408</v>
      </c>
      <c r="C48" s="336">
        <f aca="true" t="shared" si="3" ref="C48:J48">C$29/12/WS</f>
        <v>1334.6412595367988</v>
      </c>
      <c r="D48" s="337">
        <f t="shared" si="3"/>
        <v>1316.874724417697</v>
      </c>
      <c r="E48" s="337">
        <f t="shared" si="3"/>
        <v>1312.051171976191</v>
      </c>
      <c r="F48" s="338">
        <f t="shared" si="3"/>
        <v>1296.4536748963073</v>
      </c>
      <c r="G48" s="336">
        <f t="shared" si="3"/>
        <v>1418.0117635145973</v>
      </c>
      <c r="H48" s="337">
        <f t="shared" si="3"/>
        <v>1399.8214308287868</v>
      </c>
      <c r="I48" s="337">
        <f t="shared" si="3"/>
        <v>1395.1837076121888</v>
      </c>
      <c r="J48" s="338">
        <f t="shared" si="3"/>
        <v>1379.5801100842978</v>
      </c>
    </row>
    <row r="49" spans="2:10" ht="13.5" thickBot="1">
      <c r="B49" s="173" t="s">
        <v>227</v>
      </c>
      <c r="C49" s="330">
        <f aca="true" t="shared" si="4" ref="C49:J49">C$31</f>
        <v>1419.685516365767</v>
      </c>
      <c r="D49" s="331">
        <f t="shared" si="4"/>
        <v>1400.786885438272</v>
      </c>
      <c r="E49" s="331">
        <f t="shared" si="4"/>
        <v>1395.655972925487</v>
      </c>
      <c r="F49" s="332">
        <f t="shared" si="4"/>
        <v>1379.0645926293666</v>
      </c>
      <c r="G49" s="330">
        <f t="shared" si="4"/>
        <v>1508.3684460621507</v>
      </c>
      <c r="H49" s="331">
        <f t="shared" si="4"/>
        <v>1489.0190128962056</v>
      </c>
      <c r="I49" s="331">
        <f t="shared" si="4"/>
        <v>1484.0857707740472</v>
      </c>
      <c r="J49" s="332">
        <f t="shared" si="4"/>
        <v>1467.4879013051866</v>
      </c>
    </row>
    <row r="50" spans="2:3" ht="12.75">
      <c r="B50" s="276" t="s">
        <v>409</v>
      </c>
      <c r="C50" s="280">
        <f>+R0*DOUT/30*EXP(-a*(VT+CT))*((EXP(-a*RT)-EXP(-a*LIFE))/a+(Y0/YF)*(1-EXP(-a*RT))/a+(1-Y0/YF)/(1-EXP(-b*RT))*((1-EXP(-a*RT))/a-(1-EXP(-(a+b)*RT))/(a+b)))</f>
        <v>6590427149.499192</v>
      </c>
    </row>
    <row r="51" spans="2:3" ht="12.75">
      <c r="B51" s="277" t="s">
        <v>410</v>
      </c>
      <c r="C51" s="281">
        <f>ROL/LIFE*30/WS</f>
        <v>4393.618099666128</v>
      </c>
    </row>
    <row r="52" spans="2:3" ht="12.75">
      <c r="B52" s="277" t="s">
        <v>517</v>
      </c>
      <c r="C52" s="281">
        <f>ROL/TD</f>
        <v>4673.582459681559</v>
      </c>
    </row>
    <row r="53" spans="2:3" ht="12.75">
      <c r="B53" s="277" t="s">
        <v>434</v>
      </c>
      <c r="C53" s="281">
        <f>TDC</f>
        <v>965419560.3764682</v>
      </c>
    </row>
    <row r="54" spans="2:3" ht="13.5" thickBot="1">
      <c r="B54" s="173" t="s">
        <v>411</v>
      </c>
      <c r="C54" s="282">
        <f>DCPD</f>
        <v>684.6245047943227</v>
      </c>
    </row>
    <row r="56" spans="6:7" ht="12.75">
      <c r="F56"/>
      <c r="G56"/>
    </row>
    <row r="57" spans="6:10" ht="12.75">
      <c r="F57"/>
      <c r="G57"/>
      <c r="I57"/>
      <c r="J57"/>
    </row>
    <row r="58" spans="1:10" ht="12.75">
      <c r="A58"/>
      <c r="C58"/>
      <c r="D58"/>
      <c r="F58"/>
      <c r="G58"/>
      <c r="I58"/>
      <c r="J58"/>
    </row>
    <row r="59" spans="1:10" ht="12.75">
      <c r="A59"/>
      <c r="C59"/>
      <c r="D59"/>
      <c r="F59"/>
      <c r="G59"/>
      <c r="I59"/>
      <c r="J59"/>
    </row>
    <row r="60" spans="1:10" ht="12.75">
      <c r="A60"/>
      <c r="C60"/>
      <c r="D60"/>
      <c r="F60"/>
      <c r="G60"/>
      <c r="I60"/>
      <c r="J60"/>
    </row>
    <row r="61" spans="1:10" ht="12.75">
      <c r="A61"/>
      <c r="C61"/>
      <c r="D61"/>
      <c r="F61"/>
      <c r="G61"/>
      <c r="I61"/>
      <c r="J61"/>
    </row>
    <row r="62" spans="1:10" ht="12.75">
      <c r="A62"/>
      <c r="C62"/>
      <c r="D62"/>
      <c r="F62"/>
      <c r="G62"/>
      <c r="I62"/>
      <c r="J62"/>
    </row>
    <row r="63" spans="1:10" ht="12.75">
      <c r="A63"/>
      <c r="C63"/>
      <c r="D63"/>
      <c r="F63"/>
      <c r="G63"/>
      <c r="I63"/>
      <c r="J63"/>
    </row>
    <row r="64" spans="1:10" ht="12.75">
      <c r="A64"/>
      <c r="C64"/>
      <c r="D64"/>
      <c r="F64"/>
      <c r="G64"/>
      <c r="I64"/>
      <c r="J64"/>
    </row>
    <row r="65" spans="1:10" ht="12.75">
      <c r="A65"/>
      <c r="C65"/>
      <c r="D65"/>
      <c r="F65"/>
      <c r="G65"/>
      <c r="I65"/>
      <c r="J65"/>
    </row>
    <row r="66" spans="1:10" ht="12.75">
      <c r="A66"/>
      <c r="C66"/>
      <c r="D66"/>
      <c r="F66"/>
      <c r="G66"/>
      <c r="I66"/>
      <c r="J66"/>
    </row>
    <row r="67" spans="1:7" ht="12.75">
      <c r="A67"/>
      <c r="C67"/>
      <c r="D67"/>
      <c r="F67"/>
      <c r="G67"/>
    </row>
    <row r="68" spans="6:7" ht="12.75">
      <c r="F68"/>
      <c r="G68"/>
    </row>
    <row r="69" spans="6:7" ht="12.75">
      <c r="F69"/>
      <c r="G69"/>
    </row>
    <row r="70" spans="6:7" ht="12.75">
      <c r="F70"/>
      <c r="G70"/>
    </row>
    <row r="71" spans="6:7" ht="12.75">
      <c r="F71"/>
      <c r="G71"/>
    </row>
    <row r="72" spans="2:3" ht="12.75">
      <c r="B72"/>
      <c r="C72"/>
    </row>
    <row r="73" spans="2:3" ht="12.75">
      <c r="B73"/>
      <c r="C73"/>
    </row>
    <row r="79" ht="13.5" customHeight="1"/>
    <row r="82" spans="1:10" ht="12.75">
      <c r="A82"/>
      <c r="C82"/>
      <c r="D82"/>
      <c r="F82"/>
      <c r="G82"/>
      <c r="I82"/>
      <c r="J82"/>
    </row>
    <row r="83" spans="1:10" ht="12.75">
      <c r="A83"/>
      <c r="C83"/>
      <c r="D83"/>
      <c r="F83"/>
      <c r="G83"/>
      <c r="I83"/>
      <c r="J83"/>
    </row>
    <row r="84" spans="1:10" ht="12.75">
      <c r="A84"/>
      <c r="C84"/>
      <c r="D84"/>
      <c r="F84"/>
      <c r="G84"/>
      <c r="I84"/>
      <c r="J84"/>
    </row>
    <row r="85" spans="1:10" ht="12.75">
      <c r="A85"/>
      <c r="C85"/>
      <c r="D85"/>
      <c r="F85"/>
      <c r="G85"/>
      <c r="I85"/>
      <c r="J85"/>
    </row>
    <row r="86" spans="1:10" ht="12.75">
      <c r="A86"/>
      <c r="C86"/>
      <c r="D86"/>
      <c r="F86"/>
      <c r="G86"/>
      <c r="I86"/>
      <c r="J86"/>
    </row>
    <row r="87" spans="1:10" ht="12.75">
      <c r="A87"/>
      <c r="C87"/>
      <c r="D87"/>
      <c r="F87"/>
      <c r="G87"/>
      <c r="I87"/>
      <c r="J87"/>
    </row>
    <row r="88" spans="1:10" ht="12.75">
      <c r="A88"/>
      <c r="C88"/>
      <c r="D88"/>
      <c r="F88"/>
      <c r="G88"/>
      <c r="I88"/>
      <c r="J88"/>
    </row>
    <row r="89" spans="1:10" ht="12.75">
      <c r="A89"/>
      <c r="C89"/>
      <c r="D89"/>
      <c r="F89"/>
      <c r="G89"/>
      <c r="I89"/>
      <c r="J89"/>
    </row>
    <row r="90" spans="1:7" ht="12.75">
      <c r="A90"/>
      <c r="C90"/>
      <c r="D90"/>
      <c r="F90"/>
      <c r="G90"/>
    </row>
    <row r="91" spans="6:7" ht="12.75">
      <c r="F91"/>
      <c r="G91"/>
    </row>
    <row r="92" spans="6:7" ht="12.75">
      <c r="F92"/>
      <c r="G92"/>
    </row>
    <row r="93" spans="6:7" ht="12.75">
      <c r="F93"/>
      <c r="G93"/>
    </row>
    <row r="94" spans="6:7" ht="12.75">
      <c r="F94"/>
      <c r="G94"/>
    </row>
    <row r="95" spans="2:3" ht="12.75">
      <c r="B95"/>
      <c r="C95"/>
    </row>
    <row r="96" spans="2:3" ht="12.75">
      <c r="B96"/>
      <c r="C96"/>
    </row>
  </sheetData>
  <conditionalFormatting sqref="C86 C63">
    <cfRule type="expression" priority="1" dxfId="0" stopIfTrue="1">
      <formula>"A5W"</formula>
    </cfRule>
    <cfRule type="expression" priority="2" dxfId="0" stopIfTrue="1">
      <formula>"A5W&gt;0"</formula>
    </cfRule>
  </conditionalFormatting>
  <printOptions/>
  <pageMargins left="0.26" right="0.29" top="0.62" bottom="0.41" header="0.5" footer="0.29"/>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codeName="Sheet5"/>
  <dimension ref="A1:G49"/>
  <sheetViews>
    <sheetView zoomScale="75" zoomScaleNormal="75" workbookViewId="0" topLeftCell="A1">
      <selection activeCell="G6" sqref="G6:G48"/>
    </sheetView>
  </sheetViews>
  <sheetFormatPr defaultColWidth="9.140625" defaultRowHeight="12.75"/>
  <cols>
    <col min="1" max="2" width="9.140625" style="103" customWidth="1"/>
    <col min="3" max="3" width="22.28125" style="103" customWidth="1"/>
    <col min="4" max="5" width="9.140625" style="103" customWidth="1"/>
    <col min="8" max="8" width="9.7109375" style="0" customWidth="1"/>
    <col min="9" max="9" width="9.8515625" style="0" customWidth="1"/>
  </cols>
  <sheetData>
    <row r="1" ht="15.75">
      <c r="A1" s="138" t="s">
        <v>268</v>
      </c>
    </row>
    <row r="3" ht="13.5" thickBot="1"/>
    <row r="4" spans="3:7" ht="12.75">
      <c r="C4" s="217"/>
      <c r="D4" s="218" t="s">
        <v>104</v>
      </c>
      <c r="E4" s="306" t="s">
        <v>104</v>
      </c>
      <c r="F4" s="311" t="s">
        <v>430</v>
      </c>
      <c r="G4" s="309" t="s">
        <v>430</v>
      </c>
    </row>
    <row r="5" spans="3:7" ht="13.5" thickBot="1">
      <c r="C5" s="219" t="s">
        <v>106</v>
      </c>
      <c r="D5" s="220" t="s">
        <v>162</v>
      </c>
      <c r="E5" s="151" t="s">
        <v>107</v>
      </c>
      <c r="F5" s="312" t="s">
        <v>426</v>
      </c>
      <c r="G5" s="310" t="s">
        <v>250</v>
      </c>
    </row>
    <row r="6" spans="3:7" ht="12.75">
      <c r="C6" s="116" t="str">
        <f>'Input Data'!I9</f>
        <v>CMP_Ins</v>
      </c>
      <c r="D6" s="221">
        <v>2.4951751911901754</v>
      </c>
      <c r="E6" s="307">
        <f aca="true" t="shared" si="0" ref="E6:E48">+ROUNDUP(D6,0)</f>
        <v>3</v>
      </c>
      <c r="F6" s="52">
        <v>0.23</v>
      </c>
      <c r="G6" s="11">
        <v>0.19129676465791345</v>
      </c>
    </row>
    <row r="7" spans="3:7" ht="12.75">
      <c r="C7" s="116" t="str">
        <f>'Input Data'!I10</f>
        <v>CMP_Ins(C) </v>
      </c>
      <c r="D7" s="221">
        <v>19.844959428504936</v>
      </c>
      <c r="E7" s="307">
        <f t="shared" si="0"/>
        <v>20</v>
      </c>
      <c r="F7" s="53">
        <v>0.23</v>
      </c>
      <c r="G7" s="13">
        <v>0.22821703342780678</v>
      </c>
    </row>
    <row r="8" spans="3:7" ht="12.75">
      <c r="C8" s="116" t="str">
        <f>'Input Data'!I11</f>
        <v>CMP_Ins(I)</v>
      </c>
      <c r="D8" s="221">
        <v>2.512513248760408</v>
      </c>
      <c r="E8" s="307">
        <f t="shared" si="0"/>
        <v>3</v>
      </c>
      <c r="F8" s="53">
        <v>0.23</v>
      </c>
      <c r="G8" s="13">
        <v>0.19262601573829796</v>
      </c>
    </row>
    <row r="9" spans="3:7" ht="12.75">
      <c r="C9" s="116" t="str">
        <f>'Input Data'!I12</f>
        <v>CMP_Met</v>
      </c>
      <c r="D9" s="221">
        <v>12.405250562808655</v>
      </c>
      <c r="E9" s="307">
        <f t="shared" si="0"/>
        <v>13</v>
      </c>
      <c r="F9" s="53">
        <v>0.23</v>
      </c>
      <c r="G9" s="13">
        <v>0.2194775099573839</v>
      </c>
    </row>
    <row r="10" spans="3:7" ht="12.75">
      <c r="C10" s="116" t="str">
        <f>'Input Data'!I13</f>
        <v>CVD_Ins</v>
      </c>
      <c r="D10" s="221">
        <v>3.4975857966075945</v>
      </c>
      <c r="E10" s="307">
        <f t="shared" si="0"/>
        <v>4</v>
      </c>
      <c r="F10" s="53">
        <v>0.64</v>
      </c>
      <c r="G10" s="13">
        <v>0.5596137274572152</v>
      </c>
    </row>
    <row r="11" spans="3:7" ht="12.75">
      <c r="C11" s="116" t="str">
        <f>'Input Data'!I14</f>
        <v>CVD_Ins(C) </v>
      </c>
      <c r="D11" s="221">
        <v>9.261260861586166</v>
      </c>
      <c r="E11" s="307">
        <f t="shared" si="0"/>
        <v>10</v>
      </c>
      <c r="F11" s="53">
        <v>0.64</v>
      </c>
      <c r="G11" s="13">
        <v>0.5927206951415147</v>
      </c>
    </row>
    <row r="12" spans="3:7" ht="12.75">
      <c r="C12" s="116" t="str">
        <f>'Input Data'!I15</f>
        <v>CVD_Ins(I)</v>
      </c>
      <c r="D12" s="221">
        <v>1.0837534135314162</v>
      </c>
      <c r="E12" s="307">
        <f t="shared" si="0"/>
        <v>2</v>
      </c>
      <c r="F12" s="53">
        <v>0.64</v>
      </c>
      <c r="G12" s="13">
        <v>0.3468010923300532</v>
      </c>
    </row>
    <row r="13" spans="3:7" ht="12.75">
      <c r="C13" s="116" t="str">
        <f>'Input Data'!I16</f>
        <v>CVD_Ins_Thin</v>
      </c>
      <c r="D13" s="221">
        <v>1.6083184756148992</v>
      </c>
      <c r="E13" s="307">
        <f t="shared" si="0"/>
        <v>2</v>
      </c>
      <c r="F13" s="53">
        <v>0.64</v>
      </c>
      <c r="G13" s="13">
        <v>0.5146619121967677</v>
      </c>
    </row>
    <row r="14" spans="3:7" ht="12.75">
      <c r="C14" s="116" t="str">
        <f>'Input Data'!I17</f>
        <v>CVD_Met</v>
      </c>
      <c r="D14" s="221">
        <v>1.1945810005793391</v>
      </c>
      <c r="E14" s="307">
        <f t="shared" si="0"/>
        <v>2</v>
      </c>
      <c r="F14" s="53">
        <v>0.48</v>
      </c>
      <c r="G14" s="13">
        <v>0.28669944013904136</v>
      </c>
    </row>
    <row r="15" spans="3:7" ht="12.75">
      <c r="C15" s="116" t="str">
        <f>'Input Data'!I18</f>
        <v>CVD_Met(C) </v>
      </c>
      <c r="D15" s="221">
        <v>4.750450303902725</v>
      </c>
      <c r="E15" s="307">
        <f t="shared" si="0"/>
        <v>5</v>
      </c>
      <c r="F15" s="53">
        <v>0.48</v>
      </c>
      <c r="G15" s="13">
        <v>0.45604322917466156</v>
      </c>
    </row>
    <row r="16" spans="3:7" ht="12.75">
      <c r="C16" s="116" t="str">
        <f>'Input Data'!I19</f>
        <v>CVD_MetW</v>
      </c>
      <c r="D16" s="221">
        <v>1.0238534788138438</v>
      </c>
      <c r="E16" s="307">
        <f t="shared" si="0"/>
        <v>2</v>
      </c>
      <c r="F16" s="53">
        <v>0.48</v>
      </c>
      <c r="G16" s="13">
        <v>0.24572483491532252</v>
      </c>
    </row>
    <row r="17" spans="3:7" ht="12.75">
      <c r="C17" s="116" t="str">
        <f>'Input Data'!I20</f>
        <v>CVD_MetW(C) </v>
      </c>
      <c r="D17" s="221">
        <v>4.071523879271721</v>
      </c>
      <c r="E17" s="307">
        <f t="shared" si="0"/>
        <v>5</v>
      </c>
      <c r="F17" s="53">
        <v>0.48</v>
      </c>
      <c r="G17" s="13">
        <v>0.39086629241008525</v>
      </c>
    </row>
    <row r="18" spans="3:7" ht="12.75">
      <c r="C18" s="116" t="str">
        <f>'Input Data'!I21</f>
        <v>Dry_Etch</v>
      </c>
      <c r="D18" s="221">
        <v>2.352704947693884</v>
      </c>
      <c r="E18" s="307">
        <f t="shared" si="0"/>
        <v>3</v>
      </c>
      <c r="F18" s="53">
        <v>0.59</v>
      </c>
      <c r="G18" s="13">
        <v>0.46269863971313047</v>
      </c>
    </row>
    <row r="19" spans="3:7" ht="12.75">
      <c r="C19" s="116" t="str">
        <f>'Input Data'!I22</f>
        <v>Dry_Etch(A)</v>
      </c>
      <c r="D19" s="221">
        <v>2.5972647761707077</v>
      </c>
      <c r="E19" s="307">
        <f t="shared" si="0"/>
        <v>3</v>
      </c>
      <c r="F19" s="53">
        <v>0.53</v>
      </c>
      <c r="G19" s="13">
        <v>0.45885011045682506</v>
      </c>
    </row>
    <row r="20" spans="3:7" ht="12.75">
      <c r="C20" s="116" t="str">
        <f>'Input Data'!I23</f>
        <v>Dry_Etch(C) </v>
      </c>
      <c r="D20" s="221">
        <v>13.449030177451496</v>
      </c>
      <c r="E20" s="307">
        <f t="shared" si="0"/>
        <v>14</v>
      </c>
      <c r="F20" s="53">
        <v>0.53</v>
      </c>
      <c r="G20" s="13">
        <v>0.5091418567178067</v>
      </c>
    </row>
    <row r="21" spans="3:7" ht="12.75">
      <c r="C21" s="116" t="str">
        <f>'Input Data'!I24</f>
        <v>Dry_Etch(I)</v>
      </c>
      <c r="D21" s="221">
        <v>6.949602933285911</v>
      </c>
      <c r="E21" s="307">
        <f t="shared" si="0"/>
        <v>7</v>
      </c>
      <c r="F21" s="53">
        <v>0.53</v>
      </c>
      <c r="G21" s="13">
        <v>0.5261842220916476</v>
      </c>
    </row>
    <row r="22" spans="3:7" ht="12.75">
      <c r="C22" s="116" t="str">
        <f>'Input Data'!I25</f>
        <v>Dry_Etch_Met</v>
      </c>
      <c r="D22" s="221">
        <v>9.666228303847756</v>
      </c>
      <c r="E22" s="307">
        <f t="shared" si="0"/>
        <v>10</v>
      </c>
      <c r="F22" s="53">
        <v>0.59</v>
      </c>
      <c r="G22" s="13">
        <v>0.5703074699270176</v>
      </c>
    </row>
    <row r="23" spans="3:7" ht="12.75">
      <c r="C23" s="116" t="str">
        <f>'Input Data'!I26</f>
        <v>Dry_Strip</v>
      </c>
      <c r="D23" s="221">
        <v>1.7778324504103131</v>
      </c>
      <c r="E23" s="307">
        <f t="shared" si="0"/>
        <v>2</v>
      </c>
      <c r="F23" s="53">
        <v>0.65</v>
      </c>
      <c r="G23" s="13">
        <v>0.5777955463833517</v>
      </c>
    </row>
    <row r="24" spans="3:7" ht="12.75">
      <c r="C24" s="116" t="str">
        <f>'Input Data'!I27</f>
        <v>Dry_Strip(D)</v>
      </c>
      <c r="D24" s="221">
        <v>1.9791189522650043</v>
      </c>
      <c r="E24" s="307">
        <f t="shared" si="0"/>
        <v>2</v>
      </c>
      <c r="F24" s="53">
        <v>0.65</v>
      </c>
      <c r="G24" s="13">
        <v>0.6432136594861264</v>
      </c>
    </row>
    <row r="25" spans="3:7" ht="12.75">
      <c r="C25" s="116" t="str">
        <f>'Input Data'!I28</f>
        <v>Dry_Strip(I)</v>
      </c>
      <c r="D25" s="221">
        <v>5.319296789695104</v>
      </c>
      <c r="E25" s="307">
        <f t="shared" si="0"/>
        <v>6</v>
      </c>
      <c r="F25" s="53">
        <v>0.65</v>
      </c>
      <c r="G25" s="13">
        <v>0.5762571522169696</v>
      </c>
    </row>
    <row r="26" spans="3:7" ht="12.75">
      <c r="C26" s="116" t="str">
        <f>'Input Data'!I29</f>
        <v>Furn_FastRmp</v>
      </c>
      <c r="D26" s="221">
        <v>8.31680054079318</v>
      </c>
      <c r="E26" s="307">
        <f t="shared" si="0"/>
        <v>9</v>
      </c>
      <c r="F26" s="53">
        <v>0.5</v>
      </c>
      <c r="G26" s="13">
        <v>0.46204447448851</v>
      </c>
    </row>
    <row r="27" spans="3:7" ht="12.75">
      <c r="C27" s="116" t="str">
        <f>'Input Data'!I30</f>
        <v>Furn_Nitr</v>
      </c>
      <c r="D27" s="221">
        <v>2.3143191202688786</v>
      </c>
      <c r="E27" s="307">
        <f t="shared" si="0"/>
        <v>3</v>
      </c>
      <c r="F27" s="53">
        <v>0.5</v>
      </c>
      <c r="G27" s="13">
        <v>0.38571985337814646</v>
      </c>
    </row>
    <row r="28" spans="3:7" ht="12.75">
      <c r="C28" s="116" t="str">
        <f>'Input Data'!I31</f>
        <v>Furn_OxAn</v>
      </c>
      <c r="D28" s="221">
        <v>13.096065257110403</v>
      </c>
      <c r="E28" s="307">
        <f t="shared" si="0"/>
        <v>14</v>
      </c>
      <c r="F28" s="53">
        <v>0.5</v>
      </c>
      <c r="G28" s="13">
        <v>0.46771661632537154</v>
      </c>
    </row>
    <row r="29" spans="3:7" ht="12.75">
      <c r="C29" s="116" t="str">
        <f>'Input Data'!I32</f>
        <v>Furn_OxAn(I)</v>
      </c>
      <c r="D29" s="221">
        <v>3.9421372172644693</v>
      </c>
      <c r="E29" s="307">
        <f t="shared" si="0"/>
        <v>4</v>
      </c>
      <c r="F29" s="53">
        <v>0.5</v>
      </c>
      <c r="G29" s="13">
        <v>0.49276715215805866</v>
      </c>
    </row>
    <row r="30" spans="3:7" ht="12.75">
      <c r="C30" s="116" t="str">
        <f>'Input Data'!I33</f>
        <v>Furn_Poly</v>
      </c>
      <c r="D30" s="221">
        <v>2.3068964271257975</v>
      </c>
      <c r="E30" s="307">
        <f t="shared" si="0"/>
        <v>3</v>
      </c>
      <c r="F30" s="53">
        <v>0.5</v>
      </c>
      <c r="G30" s="13">
        <v>0.3844827378542996</v>
      </c>
    </row>
    <row r="31" spans="3:7" ht="12.75">
      <c r="C31" s="116" t="str">
        <f>'Input Data'!I34</f>
        <v>Furn_TEOS</v>
      </c>
      <c r="D31" s="221">
        <v>2.3017968699566564</v>
      </c>
      <c r="E31" s="307">
        <f t="shared" si="0"/>
        <v>3</v>
      </c>
      <c r="F31" s="53">
        <v>0.5</v>
      </c>
      <c r="G31" s="13">
        <v>0.38363281165944274</v>
      </c>
    </row>
    <row r="32" spans="3:7" ht="12.75">
      <c r="C32" s="116" t="str">
        <f>'Input Data'!I35</f>
        <v>Implant_HiE</v>
      </c>
      <c r="D32" s="221">
        <v>1.8721933237348602</v>
      </c>
      <c r="E32" s="307">
        <f t="shared" si="0"/>
        <v>2</v>
      </c>
      <c r="F32" s="53">
        <v>0.37</v>
      </c>
      <c r="G32" s="13">
        <v>0.34635576489094916</v>
      </c>
    </row>
    <row r="33" spans="3:7" ht="12.75">
      <c r="C33" s="116" t="str">
        <f>'Input Data'!I36</f>
        <v>Implant_LoE</v>
      </c>
      <c r="D33" s="221">
        <v>3.2910649505566774</v>
      </c>
      <c r="E33" s="307">
        <f t="shared" si="0"/>
        <v>4</v>
      </c>
      <c r="F33" s="53">
        <v>0.42</v>
      </c>
      <c r="G33" s="13">
        <v>0.34556181980845113</v>
      </c>
    </row>
    <row r="34" spans="3:7" ht="12.75">
      <c r="C34" s="116" t="str">
        <f>'Input Data'!I37</f>
        <v>Insp_PLY</v>
      </c>
      <c r="D34" s="221">
        <v>24.595297275177085</v>
      </c>
      <c r="E34" s="307">
        <f t="shared" si="0"/>
        <v>25</v>
      </c>
      <c r="F34" s="53">
        <v>0.3</v>
      </c>
      <c r="G34" s="13">
        <v>0.295143567302125</v>
      </c>
    </row>
    <row r="35" spans="3:7" ht="12.75">
      <c r="C35" s="116" t="str">
        <f>'Input Data'!I38</f>
        <v>Insp_Visual</v>
      </c>
      <c r="D35" s="221">
        <v>0.9862748259023061</v>
      </c>
      <c r="E35" s="307">
        <f t="shared" si="0"/>
        <v>1</v>
      </c>
      <c r="F35" s="53">
        <v>0.35</v>
      </c>
      <c r="G35" s="13">
        <v>0.3451961890658071</v>
      </c>
    </row>
    <row r="36" spans="3:7" ht="12.75">
      <c r="C36" s="116" t="str">
        <f>'Input Data'!I39</f>
        <v>Litho_248</v>
      </c>
      <c r="D36" s="221">
        <v>3.4511046399724674</v>
      </c>
      <c r="E36" s="307">
        <f t="shared" si="0"/>
        <v>4</v>
      </c>
      <c r="F36" s="53">
        <v>0.8</v>
      </c>
      <c r="G36" s="13">
        <v>0.6902209279944935</v>
      </c>
    </row>
    <row r="37" spans="3:7" ht="12.75">
      <c r="C37" s="116" t="str">
        <f>'Input Data'!I40</f>
        <v>Litho_I</v>
      </c>
      <c r="D37" s="221">
        <v>10.017822020419386</v>
      </c>
      <c r="E37" s="307">
        <f t="shared" si="0"/>
        <v>11</v>
      </c>
      <c r="F37" s="53">
        <v>0.8</v>
      </c>
      <c r="G37" s="13">
        <v>0.7285688742123191</v>
      </c>
    </row>
    <row r="38" spans="3:7" ht="12.75">
      <c r="C38" s="116" t="str">
        <f>'Input Data'!I41</f>
        <v>Litho_Iw</v>
      </c>
      <c r="D38" s="221">
        <v>10.743201101973133</v>
      </c>
      <c r="E38" s="307">
        <f t="shared" si="0"/>
        <v>11</v>
      </c>
      <c r="F38" s="53">
        <v>0.8</v>
      </c>
      <c r="G38" s="13">
        <v>0.7813237165071371</v>
      </c>
    </row>
    <row r="39" spans="3:7" ht="12.75">
      <c r="C39" s="116" t="str">
        <f>'Input Data'!I42</f>
        <v>Meas_CD</v>
      </c>
      <c r="D39" s="221">
        <v>14.723395151193854</v>
      </c>
      <c r="E39" s="307">
        <f t="shared" si="0"/>
        <v>15</v>
      </c>
      <c r="F39" s="53">
        <v>0.35</v>
      </c>
      <c r="G39" s="13">
        <v>0.34354588686118986</v>
      </c>
    </row>
    <row r="40" spans="3:7" ht="12.75">
      <c r="C40" s="116" t="str">
        <f>'Input Data'!I43</f>
        <v>Meas_Film</v>
      </c>
      <c r="D40" s="221">
        <v>11.814519883061728</v>
      </c>
      <c r="E40" s="307">
        <f t="shared" si="0"/>
        <v>12</v>
      </c>
      <c r="F40" s="53">
        <v>0.35</v>
      </c>
      <c r="G40" s="13">
        <v>0.3445901632559671</v>
      </c>
    </row>
    <row r="41" spans="3:7" ht="12.75">
      <c r="C41" s="116" t="str">
        <f>'Input Data'!I44</f>
        <v>Meas_Overlay</v>
      </c>
      <c r="D41" s="221">
        <v>10.307971208631438</v>
      </c>
      <c r="E41" s="307">
        <f t="shared" si="0"/>
        <v>11</v>
      </c>
      <c r="F41" s="53">
        <v>0.3</v>
      </c>
      <c r="G41" s="13">
        <v>0.2811264875081301</v>
      </c>
    </row>
    <row r="42" spans="3:7" ht="12.75">
      <c r="C42" s="116" t="str">
        <f>'Input Data'!I45</f>
        <v>PVD_Met</v>
      </c>
      <c r="D42" s="221">
        <v>1.12607868055671</v>
      </c>
      <c r="E42" s="307">
        <f t="shared" si="0"/>
        <v>2</v>
      </c>
      <c r="F42" s="53">
        <v>0.51</v>
      </c>
      <c r="G42" s="13">
        <v>0.28715006354196104</v>
      </c>
    </row>
    <row r="43" spans="3:7" ht="12.75">
      <c r="C43" s="116" t="str">
        <f>'Input Data'!I46</f>
        <v>PVD_Met(C) </v>
      </c>
      <c r="D43" s="221">
        <v>8.390589090890096</v>
      </c>
      <c r="E43" s="307">
        <f t="shared" si="0"/>
        <v>9</v>
      </c>
      <c r="F43" s="53">
        <v>0.51</v>
      </c>
      <c r="G43" s="13">
        <v>0.47546671515043876</v>
      </c>
    </row>
    <row r="44" spans="3:7" ht="12.75">
      <c r="C44" s="116" t="str">
        <f>'Input Data'!I47</f>
        <v>RTP_OxAn(C) </v>
      </c>
      <c r="D44" s="221">
        <v>2.417587991126689</v>
      </c>
      <c r="E44" s="307">
        <f t="shared" si="0"/>
        <v>3</v>
      </c>
      <c r="F44" s="53">
        <v>0.57</v>
      </c>
      <c r="G44" s="13">
        <v>0.45934171831407083</v>
      </c>
    </row>
    <row r="45" spans="3:7" ht="12.75">
      <c r="C45" s="116" t="str">
        <f>'Input Data'!I48</f>
        <v>Test</v>
      </c>
      <c r="D45" s="221">
        <v>21.031937387838806</v>
      </c>
      <c r="E45" s="307">
        <f t="shared" si="0"/>
        <v>22</v>
      </c>
      <c r="F45" s="53">
        <v>0.39</v>
      </c>
      <c r="G45" s="13">
        <v>0.37283889005714244</v>
      </c>
    </row>
    <row r="46" spans="3:7" ht="12.75">
      <c r="C46" s="116" t="str">
        <f>'Input Data'!I49</f>
        <v>VP_HF_Clean</v>
      </c>
      <c r="D46" s="221">
        <v>4.354859633497985</v>
      </c>
      <c r="E46" s="307">
        <f t="shared" si="0"/>
        <v>5</v>
      </c>
      <c r="F46" s="53">
        <v>0.45</v>
      </c>
      <c r="G46" s="13">
        <v>0.3919373670148186</v>
      </c>
    </row>
    <row r="47" spans="3:7" ht="12.75">
      <c r="C47" s="116" t="str">
        <f>'Input Data'!I50</f>
        <v>Wet_Bench</v>
      </c>
      <c r="D47" s="221">
        <v>10.646938047649115</v>
      </c>
      <c r="E47" s="307">
        <f t="shared" si="0"/>
        <v>11</v>
      </c>
      <c r="F47" s="53">
        <v>0.54</v>
      </c>
      <c r="G47" s="13">
        <v>0.5226678677936839</v>
      </c>
    </row>
    <row r="48" spans="3:7" ht="13.5" thickBot="1">
      <c r="C48" s="116" t="str">
        <f>'Input Data'!I51</f>
        <v>Wet_Bench(I)</v>
      </c>
      <c r="D48" s="151">
        <v>9.222159774628128</v>
      </c>
      <c r="E48" s="308">
        <f t="shared" si="0"/>
        <v>10</v>
      </c>
      <c r="F48" s="54">
        <v>0.54</v>
      </c>
      <c r="G48" s="16">
        <v>0.497996627829919</v>
      </c>
    </row>
    <row r="49" spans="3:7" ht="13.5" thickBot="1">
      <c r="C49" s="139" t="s">
        <v>169</v>
      </c>
      <c r="D49" s="223">
        <f>SUM(D6:D48)</f>
        <v>289.1113153913219</v>
      </c>
      <c r="E49" s="222">
        <f>SUM(E6:E48)</f>
        <v>312</v>
      </c>
      <c r="F49" s="426"/>
      <c r="G49" s="427">
        <v>0</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6"/>
  <dimension ref="A1:G19"/>
  <sheetViews>
    <sheetView zoomScale="75" zoomScaleNormal="75" workbookViewId="0" topLeftCell="A1">
      <selection activeCell="I40" sqref="I40"/>
    </sheetView>
  </sheetViews>
  <sheetFormatPr defaultColWidth="9.140625" defaultRowHeight="12.75"/>
  <cols>
    <col min="3" max="3" width="15.00390625" style="0" customWidth="1"/>
    <col min="5" max="5" width="10.421875" style="0" customWidth="1"/>
    <col min="7" max="7" width="10.28125" style="0" customWidth="1"/>
  </cols>
  <sheetData>
    <row r="1" ht="15.75">
      <c r="A1" s="138" t="s">
        <v>267</v>
      </c>
    </row>
    <row r="2" ht="13.5" thickBot="1"/>
    <row r="3" spans="3:7" ht="16.5" thickBot="1">
      <c r="C3" s="207" t="s">
        <v>177</v>
      </c>
      <c r="D3" s="208"/>
      <c r="E3" s="208"/>
      <c r="F3" s="208"/>
      <c r="G3" s="209"/>
    </row>
    <row r="4" spans="3:7" ht="16.5" thickBot="1">
      <c r="C4" s="207" t="s">
        <v>127</v>
      </c>
      <c r="D4" s="251" t="s">
        <v>271</v>
      </c>
      <c r="E4" s="252" t="s">
        <v>272</v>
      </c>
      <c r="F4" s="250" t="s">
        <v>273</v>
      </c>
      <c r="G4" s="253" t="s">
        <v>274</v>
      </c>
    </row>
    <row r="5" spans="3:7" ht="15.75">
      <c r="C5" s="210" t="s">
        <v>132</v>
      </c>
      <c r="D5" s="211">
        <f>+'Expense Cost Calculation'!AF59</f>
        <v>511</v>
      </c>
      <c r="E5" s="211">
        <f>+'Expense Cost Calculation'!AG59</f>
        <v>410</v>
      </c>
      <c r="F5" s="211">
        <f>+'Expense Cost Calculation'!AH59</f>
        <v>366</v>
      </c>
      <c r="G5" s="212">
        <f>+'Expense Cost Calculation'!AI59</f>
        <v>285</v>
      </c>
    </row>
    <row r="6" spans="3:7" ht="15.75">
      <c r="C6" s="210" t="s">
        <v>133</v>
      </c>
      <c r="D6" s="211">
        <f>+'Expense Cost Calculation'!AF60</f>
        <v>31</v>
      </c>
      <c r="E6" s="211">
        <f>+'Expense Cost Calculation'!AG60</f>
        <v>25</v>
      </c>
      <c r="F6" s="211">
        <f>+'Expense Cost Calculation'!AH60</f>
        <v>23</v>
      </c>
      <c r="G6" s="212">
        <f>+'Expense Cost Calculation'!AI60</f>
        <v>17</v>
      </c>
    </row>
    <row r="7" spans="3:7" ht="15.75">
      <c r="C7" s="210" t="s">
        <v>134</v>
      </c>
      <c r="D7" s="211">
        <f>+'Expense Cost Calculation'!AF61</f>
        <v>15</v>
      </c>
      <c r="E7" s="211">
        <f>+'Expense Cost Calculation'!AG61</f>
        <v>15</v>
      </c>
      <c r="F7" s="211">
        <f>+'Expense Cost Calculation'!AH61</f>
        <v>15</v>
      </c>
      <c r="G7" s="212">
        <f>+'Expense Cost Calculation'!AI61</f>
        <v>15</v>
      </c>
    </row>
    <row r="8" spans="3:7" ht="15.75">
      <c r="C8" s="210" t="s">
        <v>334</v>
      </c>
      <c r="D8" s="211">
        <f>+'Expense Cost Calculation'!AF62</f>
        <v>15</v>
      </c>
      <c r="E8" s="211">
        <f>+'Expense Cost Calculation'!AG62</f>
        <v>14</v>
      </c>
      <c r="F8" s="211">
        <f>+'Expense Cost Calculation'!AH62</f>
        <v>13</v>
      </c>
      <c r="G8" s="212">
        <f>+'Expense Cost Calculation'!AI62</f>
        <v>12</v>
      </c>
    </row>
    <row r="9" spans="3:7" ht="15.75">
      <c r="C9" s="210" t="s">
        <v>120</v>
      </c>
      <c r="D9" s="211">
        <f>+'Expense Cost Calculation'!AF63</f>
        <v>85</v>
      </c>
      <c r="E9" s="211">
        <f>+'Expense Cost Calculation'!AG63</f>
        <v>91</v>
      </c>
      <c r="F9" s="211">
        <f>+'Expense Cost Calculation'!AH63</f>
        <v>93</v>
      </c>
      <c r="G9" s="212">
        <f>+'Expense Cost Calculation'!AI63</f>
        <v>97</v>
      </c>
    </row>
    <row r="10" spans="3:7" ht="16.5" thickBot="1">
      <c r="C10" s="213" t="s">
        <v>135</v>
      </c>
      <c r="D10" s="214">
        <f>+'Expense Cost Calculation'!AF64</f>
        <v>179</v>
      </c>
      <c r="E10" s="214">
        <f>+'Expense Cost Calculation'!AG64</f>
        <v>187</v>
      </c>
      <c r="F10" s="214">
        <f>+'Expense Cost Calculation'!AH64</f>
        <v>203</v>
      </c>
      <c r="G10" s="215">
        <f>+'Expense Cost Calculation'!AI64</f>
        <v>207</v>
      </c>
    </row>
    <row r="11" spans="3:7" ht="16.5" thickBot="1">
      <c r="C11" s="216"/>
      <c r="D11" s="216"/>
      <c r="E11" s="216"/>
      <c r="F11" s="216"/>
      <c r="G11" s="216"/>
    </row>
    <row r="12" spans="3:7" ht="16.5" thickBot="1">
      <c r="C12" s="207" t="s">
        <v>178</v>
      </c>
      <c r="D12" s="208"/>
      <c r="E12" s="208"/>
      <c r="F12" s="208"/>
      <c r="G12" s="209"/>
    </row>
    <row r="13" spans="3:7" ht="16.5" thickBot="1">
      <c r="C13" s="254" t="s">
        <v>127</v>
      </c>
      <c r="D13" s="251" t="s">
        <v>271</v>
      </c>
      <c r="E13" s="252" t="s">
        <v>272</v>
      </c>
      <c r="F13" s="250" t="s">
        <v>273</v>
      </c>
      <c r="G13" s="253" t="s">
        <v>274</v>
      </c>
    </row>
    <row r="14" spans="3:7" ht="15.75">
      <c r="C14" s="210" t="s">
        <v>132</v>
      </c>
      <c r="D14" s="211">
        <f>+'Expense Cost Calculation'!AF71</f>
        <v>511</v>
      </c>
      <c r="E14" s="211">
        <f>+'Expense Cost Calculation'!AG71</f>
        <v>410</v>
      </c>
      <c r="F14" s="211">
        <f>+'Expense Cost Calculation'!AH71</f>
        <v>366</v>
      </c>
      <c r="G14" s="212">
        <f>+'Expense Cost Calculation'!AI71</f>
        <v>285</v>
      </c>
    </row>
    <row r="15" spans="3:7" ht="15.75">
      <c r="C15" s="210" t="s">
        <v>133</v>
      </c>
      <c r="D15" s="211">
        <f>+'Expense Cost Calculation'!AF72</f>
        <v>31</v>
      </c>
      <c r="E15" s="211">
        <f>+'Expense Cost Calculation'!AG72</f>
        <v>25</v>
      </c>
      <c r="F15" s="211">
        <f>+'Expense Cost Calculation'!AH72</f>
        <v>23</v>
      </c>
      <c r="G15" s="212">
        <f>+'Expense Cost Calculation'!AI72</f>
        <v>17</v>
      </c>
    </row>
    <row r="16" spans="3:7" ht="15.75">
      <c r="C16" s="210" t="s">
        <v>134</v>
      </c>
      <c r="D16" s="211">
        <f>+'Expense Cost Calculation'!AF73</f>
        <v>15</v>
      </c>
      <c r="E16" s="211">
        <f>+'Expense Cost Calculation'!AG73</f>
        <v>15</v>
      </c>
      <c r="F16" s="211">
        <f>+'Expense Cost Calculation'!AH73</f>
        <v>15</v>
      </c>
      <c r="G16" s="212">
        <f>+'Expense Cost Calculation'!AI73</f>
        <v>15</v>
      </c>
    </row>
    <row r="17" spans="3:7" ht="15.75">
      <c r="C17" s="210" t="s">
        <v>334</v>
      </c>
      <c r="D17" s="211">
        <f>+'Expense Cost Calculation'!AF74</f>
        <v>15</v>
      </c>
      <c r="E17" s="211">
        <f>+'Expense Cost Calculation'!AG74</f>
        <v>14</v>
      </c>
      <c r="F17" s="211">
        <f>+'Expense Cost Calculation'!AH74</f>
        <v>13</v>
      </c>
      <c r="G17" s="212">
        <f>+'Expense Cost Calculation'!AI74</f>
        <v>12</v>
      </c>
    </row>
    <row r="18" spans="3:7" ht="15.75">
      <c r="C18" s="210" t="s">
        <v>120</v>
      </c>
      <c r="D18" s="211">
        <f>+'Expense Cost Calculation'!AF75</f>
        <v>86</v>
      </c>
      <c r="E18" s="211">
        <f>+'Expense Cost Calculation'!AG75</f>
        <v>91</v>
      </c>
      <c r="F18" s="211">
        <f>+'Expense Cost Calculation'!AH75</f>
        <v>94</v>
      </c>
      <c r="G18" s="212">
        <f>+'Expense Cost Calculation'!AI75</f>
        <v>98</v>
      </c>
    </row>
    <row r="19" spans="3:7" ht="16.5" thickBot="1">
      <c r="C19" s="213" t="s">
        <v>135</v>
      </c>
      <c r="D19" s="214">
        <f>+'Expense Cost Calculation'!AF76</f>
        <v>184</v>
      </c>
      <c r="E19" s="214">
        <f>+'Expense Cost Calculation'!AG76</f>
        <v>192</v>
      </c>
      <c r="F19" s="214">
        <f>+'Expense Cost Calculation'!AH76</f>
        <v>207</v>
      </c>
      <c r="G19" s="215">
        <f>+'Expense Cost Calculation'!AI76</f>
        <v>211</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AE131"/>
  <sheetViews>
    <sheetView zoomScale="75" zoomScaleNormal="75" workbookViewId="0" topLeftCell="A1">
      <selection activeCell="C5" sqref="C5:J5"/>
    </sheetView>
  </sheetViews>
  <sheetFormatPr defaultColWidth="9.140625" defaultRowHeight="12.75"/>
  <cols>
    <col min="1" max="1" width="22.00390625" style="103" customWidth="1"/>
    <col min="2" max="2" width="20.421875" style="103" customWidth="1"/>
    <col min="3" max="3" width="13.00390625" style="103" customWidth="1"/>
    <col min="4" max="5" width="12.8515625" style="103" bestFit="1" customWidth="1"/>
    <col min="6" max="6" width="13.28125" style="103" customWidth="1"/>
    <col min="7" max="7" width="14.28125" style="103" customWidth="1"/>
    <col min="8" max="8" width="13.28125" style="103" customWidth="1"/>
    <col min="9" max="10" width="13.7109375" style="103" customWidth="1"/>
    <col min="11" max="11" width="12.57421875" style="103" bestFit="1" customWidth="1"/>
    <col min="12" max="13" width="12.57421875" style="0" bestFit="1" customWidth="1"/>
    <col min="15" max="15" width="17.140625" style="0" customWidth="1"/>
    <col min="34" max="34" width="12.140625" style="0" customWidth="1"/>
  </cols>
  <sheetData>
    <row r="1" spans="1:17" ht="16.5" thickBot="1">
      <c r="A1" s="138" t="s">
        <v>266</v>
      </c>
      <c r="N1" s="138" t="s">
        <v>268</v>
      </c>
      <c r="O1" s="103"/>
      <c r="P1" s="103"/>
      <c r="Q1" s="103"/>
    </row>
    <row r="2" spans="1:17" ht="13.5" thickBot="1">
      <c r="A2" s="167" t="s">
        <v>157</v>
      </c>
      <c r="B2" s="279"/>
      <c r="C2" s="167" t="s">
        <v>159</v>
      </c>
      <c r="D2" s="168"/>
      <c r="E2" s="168"/>
      <c r="F2" s="169"/>
      <c r="G2" s="167" t="s">
        <v>160</v>
      </c>
      <c r="H2" s="168"/>
      <c r="I2" s="168"/>
      <c r="J2" s="169"/>
      <c r="M2" s="103"/>
      <c r="N2" s="103"/>
      <c r="O2" s="103"/>
      <c r="P2" s="103"/>
      <c r="Q2" s="103"/>
    </row>
    <row r="3" spans="1:31" ht="13.5" thickBot="1">
      <c r="A3" s="167" t="s">
        <v>414</v>
      </c>
      <c r="B3" s="279" t="s">
        <v>423</v>
      </c>
      <c r="C3" s="317" t="s">
        <v>271</v>
      </c>
      <c r="D3" s="318" t="s">
        <v>272</v>
      </c>
      <c r="E3" s="318" t="s">
        <v>273</v>
      </c>
      <c r="F3" s="319" t="s">
        <v>274</v>
      </c>
      <c r="G3" s="317" t="s">
        <v>271</v>
      </c>
      <c r="H3" s="318" t="s">
        <v>272</v>
      </c>
      <c r="I3" s="318" t="s">
        <v>273</v>
      </c>
      <c r="J3" s="319" t="s">
        <v>274</v>
      </c>
      <c r="M3" s="103"/>
      <c r="N3" s="103"/>
      <c r="O3" s="175"/>
      <c r="P3" s="378" t="s">
        <v>431</v>
      </c>
      <c r="Q3" s="379"/>
      <c r="R3" s="380" t="s">
        <v>545</v>
      </c>
      <c r="S3" s="379"/>
      <c r="T3" s="378" t="s">
        <v>418</v>
      </c>
      <c r="U3" s="379"/>
      <c r="V3" s="378" t="s">
        <v>419</v>
      </c>
      <c r="W3" s="379"/>
      <c r="X3" s="380" t="s">
        <v>420</v>
      </c>
      <c r="Y3" s="379"/>
      <c r="Z3" s="378" t="s">
        <v>421</v>
      </c>
      <c r="AA3" s="379"/>
      <c r="AB3" s="378" t="s">
        <v>422</v>
      </c>
      <c r="AC3" s="379"/>
      <c r="AD3" s="378" t="s">
        <v>546</v>
      </c>
      <c r="AE3" s="379"/>
    </row>
    <row r="4" spans="1:31" ht="12.75">
      <c r="A4" s="363">
        <f>A0T</f>
        <v>0</v>
      </c>
      <c r="B4" s="71">
        <f aca="true" t="shared" si="0" ref="B4:B10">(A5-A4)*C19/30</f>
        <v>60000</v>
      </c>
      <c r="C4" s="99">
        <v>1406.4115468701323</v>
      </c>
      <c r="D4" s="53">
        <v>1383.0357146988763</v>
      </c>
      <c r="E4" s="53">
        <v>1379.3682847063499</v>
      </c>
      <c r="F4" s="314">
        <v>1364.2159123430195</v>
      </c>
      <c r="G4" s="99">
        <v>1543.8702978151891</v>
      </c>
      <c r="H4" s="53">
        <v>1520.0999248608257</v>
      </c>
      <c r="I4" s="53">
        <v>1516.4304348076912</v>
      </c>
      <c r="J4" s="314">
        <v>1501.2679878242304</v>
      </c>
      <c r="M4" s="103"/>
      <c r="N4" s="103"/>
      <c r="O4" s="171"/>
      <c r="P4" s="381" t="s">
        <v>104</v>
      </c>
      <c r="Q4" s="382" t="s">
        <v>430</v>
      </c>
      <c r="R4" s="381" t="s">
        <v>104</v>
      </c>
      <c r="S4" s="382" t="s">
        <v>430</v>
      </c>
      <c r="T4" s="381"/>
      <c r="U4" s="382"/>
      <c r="V4" s="381"/>
      <c r="W4" s="382"/>
      <c r="X4" s="381"/>
      <c r="Y4" s="382"/>
      <c r="Z4" s="381"/>
      <c r="AA4" s="382"/>
      <c r="AB4" s="381"/>
      <c r="AC4" s="382"/>
      <c r="AD4" s="381"/>
      <c r="AE4" s="382"/>
    </row>
    <row r="5" spans="1:31" ht="13.5" thickBot="1">
      <c r="A5" s="364">
        <f>IF((A1T=0),LIFE,A1T)</f>
        <v>120</v>
      </c>
      <c r="B5" s="71">
        <f t="shared" si="0"/>
        <v>1400000</v>
      </c>
      <c r="C5" s="99">
        <v>1334.6412595367988</v>
      </c>
      <c r="D5" s="53">
        <v>1316.874724417697</v>
      </c>
      <c r="E5" s="53">
        <v>1312.051171976191</v>
      </c>
      <c r="F5" s="314">
        <v>1296.4536748963073</v>
      </c>
      <c r="G5" s="99">
        <v>1418.0117635145975</v>
      </c>
      <c r="H5" s="53">
        <v>1399.8214308287868</v>
      </c>
      <c r="I5" s="53">
        <v>1395.1837076121885</v>
      </c>
      <c r="J5" s="314">
        <v>1379.5801100842978</v>
      </c>
      <c r="M5" s="103"/>
      <c r="N5" s="103"/>
      <c r="O5" s="177" t="s">
        <v>106</v>
      </c>
      <c r="P5" s="383" t="s">
        <v>107</v>
      </c>
      <c r="Q5" s="384" t="s">
        <v>250</v>
      </c>
      <c r="R5" s="383" t="s">
        <v>107</v>
      </c>
      <c r="S5" s="384" t="s">
        <v>250</v>
      </c>
      <c r="T5" s="383"/>
      <c r="U5" s="384"/>
      <c r="V5" s="383"/>
      <c r="W5" s="384"/>
      <c r="X5" s="383"/>
      <c r="Y5" s="384"/>
      <c r="Z5" s="383"/>
      <c r="AA5" s="384"/>
      <c r="AB5" s="383"/>
      <c r="AC5" s="384"/>
      <c r="AD5" s="383"/>
      <c r="AE5" s="384"/>
    </row>
    <row r="6" spans="1:31" ht="12.75">
      <c r="A6" s="364">
        <f>IF((A2T=0),LIFE,A2T)</f>
        <v>1800</v>
      </c>
      <c r="B6" s="71">
        <f t="shared" si="0"/>
        <v>0</v>
      </c>
      <c r="C6" s="99"/>
      <c r="D6" s="53"/>
      <c r="E6" s="53"/>
      <c r="F6" s="314"/>
      <c r="G6" s="99"/>
      <c r="H6" s="53"/>
      <c r="I6" s="53"/>
      <c r="J6" s="314"/>
      <c r="M6" s="103"/>
      <c r="N6" s="103"/>
      <c r="O6" s="171" t="s">
        <v>364</v>
      </c>
      <c r="P6" s="99">
        <v>2</v>
      </c>
      <c r="Q6" s="314">
        <v>0.1721670881921221</v>
      </c>
      <c r="R6" s="99">
        <v>3</v>
      </c>
      <c r="S6" s="314">
        <v>0.19129676465791345</v>
      </c>
      <c r="T6" s="99"/>
      <c r="U6" s="314"/>
      <c r="V6" s="99"/>
      <c r="W6" s="314"/>
      <c r="X6" s="99"/>
      <c r="Y6" s="314"/>
      <c r="Z6" s="99"/>
      <c r="AA6" s="314"/>
      <c r="AB6" s="99"/>
      <c r="AC6" s="314"/>
      <c r="AD6" s="99"/>
      <c r="AE6" s="314"/>
    </row>
    <row r="7" spans="1:31" ht="12.75">
      <c r="A7" s="364">
        <f>IF((A3T=0),LIFE,A3T)</f>
        <v>1800</v>
      </c>
      <c r="B7" s="71">
        <f t="shared" si="0"/>
        <v>0</v>
      </c>
      <c r="C7" s="99"/>
      <c r="D7" s="53"/>
      <c r="E7" s="53"/>
      <c r="F7" s="314"/>
      <c r="G7" s="99"/>
      <c r="H7" s="53"/>
      <c r="I7" s="53"/>
      <c r="J7" s="314"/>
      <c r="M7" s="103"/>
      <c r="N7" s="103"/>
      <c r="O7" s="171" t="s">
        <v>362</v>
      </c>
      <c r="P7" s="99">
        <v>12</v>
      </c>
      <c r="Q7" s="314">
        <v>0.22821703342780675</v>
      </c>
      <c r="R7" s="99">
        <v>20</v>
      </c>
      <c r="S7" s="314">
        <v>0.22821703342780678</v>
      </c>
      <c r="T7" s="99"/>
      <c r="U7" s="314"/>
      <c r="V7" s="99"/>
      <c r="W7" s="314"/>
      <c r="X7" s="99"/>
      <c r="Y7" s="314"/>
      <c r="Z7" s="99"/>
      <c r="AA7" s="314"/>
      <c r="AB7" s="99"/>
      <c r="AC7" s="314"/>
      <c r="AD7" s="99"/>
      <c r="AE7" s="314"/>
    </row>
    <row r="8" spans="1:31" ht="12.75">
      <c r="A8" s="364">
        <f>IF((A4T=0),LIFE,A4T)</f>
        <v>1800</v>
      </c>
      <c r="B8" s="71">
        <f t="shared" si="0"/>
        <v>0</v>
      </c>
      <c r="C8" s="99"/>
      <c r="D8" s="53"/>
      <c r="E8" s="53"/>
      <c r="F8" s="314"/>
      <c r="G8" s="99"/>
      <c r="H8" s="53"/>
      <c r="I8" s="53"/>
      <c r="J8" s="314"/>
      <c r="M8" s="103"/>
      <c r="N8" s="103"/>
      <c r="O8" s="171" t="s">
        <v>363</v>
      </c>
      <c r="P8" s="99">
        <v>2</v>
      </c>
      <c r="Q8" s="314">
        <v>0.17336341416446815</v>
      </c>
      <c r="R8" s="99">
        <v>3</v>
      </c>
      <c r="S8" s="314">
        <v>0.19262601573829796</v>
      </c>
      <c r="T8" s="99"/>
      <c r="U8" s="314"/>
      <c r="V8" s="99"/>
      <c r="W8" s="314"/>
      <c r="X8" s="99"/>
      <c r="Y8" s="314"/>
      <c r="Z8" s="99"/>
      <c r="AA8" s="314"/>
      <c r="AB8" s="99"/>
      <c r="AC8" s="314"/>
      <c r="AD8" s="99"/>
      <c r="AE8" s="314"/>
    </row>
    <row r="9" spans="1:31" ht="12.75">
      <c r="A9" s="364">
        <f>IF((A5T=0),LIFE,A5T)</f>
        <v>1800</v>
      </c>
      <c r="B9" s="71">
        <f t="shared" si="0"/>
        <v>0</v>
      </c>
      <c r="C9" s="99"/>
      <c r="D9" s="53"/>
      <c r="E9" s="53"/>
      <c r="F9" s="314"/>
      <c r="G9" s="99"/>
      <c r="H9" s="53"/>
      <c r="I9" s="53"/>
      <c r="J9" s="314"/>
      <c r="M9" s="103"/>
      <c r="N9" s="103"/>
      <c r="O9" s="171" t="s">
        <v>365</v>
      </c>
      <c r="P9" s="99">
        <v>8</v>
      </c>
      <c r="Q9" s="314">
        <v>0.21399057220844936</v>
      </c>
      <c r="R9" s="99">
        <v>13</v>
      </c>
      <c r="S9" s="314">
        <v>0.2194775099573839</v>
      </c>
      <c r="T9" s="99"/>
      <c r="U9" s="314"/>
      <c r="V9" s="99"/>
      <c r="W9" s="314"/>
      <c r="X9" s="99"/>
      <c r="Y9" s="314"/>
      <c r="Z9" s="99"/>
      <c r="AA9" s="314"/>
      <c r="AB9" s="99"/>
      <c r="AC9" s="314"/>
      <c r="AD9" s="99"/>
      <c r="AE9" s="314"/>
    </row>
    <row r="10" spans="1:31" ht="12.75">
      <c r="A10" s="364">
        <f>IF((A6T=0),LIFE,A6T)</f>
        <v>1800</v>
      </c>
      <c r="B10" s="71">
        <f t="shared" si="0"/>
        <v>0</v>
      </c>
      <c r="C10" s="99"/>
      <c r="D10" s="53"/>
      <c r="E10" s="53"/>
      <c r="F10" s="314"/>
      <c r="G10" s="99"/>
      <c r="H10" s="53"/>
      <c r="I10" s="53"/>
      <c r="J10" s="314"/>
      <c r="M10" s="103"/>
      <c r="N10" s="103"/>
      <c r="O10" s="171" t="s">
        <v>368</v>
      </c>
      <c r="P10" s="99">
        <v>3</v>
      </c>
      <c r="Q10" s="314">
        <v>0.4476909819657722</v>
      </c>
      <c r="R10" s="99">
        <v>4</v>
      </c>
      <c r="S10" s="314">
        <v>0.5596137274572152</v>
      </c>
      <c r="T10" s="99"/>
      <c r="U10" s="314"/>
      <c r="V10" s="99"/>
      <c r="W10" s="314"/>
      <c r="X10" s="99"/>
      <c r="Y10" s="314"/>
      <c r="Z10" s="99"/>
      <c r="AA10" s="314"/>
      <c r="AB10" s="99"/>
      <c r="AC10" s="314"/>
      <c r="AD10" s="99"/>
      <c r="AE10" s="314"/>
    </row>
    <row r="11" spans="1:31" ht="13.5" thickBot="1">
      <c r="A11" s="364">
        <f>IF((A7T=0),LIFE,A7T)</f>
        <v>1800</v>
      </c>
      <c r="B11" s="71">
        <f>(LIFE-A11)*C26/30</f>
        <v>0</v>
      </c>
      <c r="C11" s="99"/>
      <c r="D11" s="53"/>
      <c r="E11" s="53"/>
      <c r="F11" s="314"/>
      <c r="G11" s="99"/>
      <c r="H11" s="53"/>
      <c r="I11" s="53"/>
      <c r="J11" s="314"/>
      <c r="M11" s="103"/>
      <c r="N11" s="103"/>
      <c r="O11" s="171" t="s">
        <v>366</v>
      </c>
      <c r="P11" s="99">
        <v>6</v>
      </c>
      <c r="Q11" s="314">
        <v>0.5927206951415145</v>
      </c>
      <c r="R11" s="99">
        <v>10</v>
      </c>
      <c r="S11" s="314">
        <v>0.5927206951415147</v>
      </c>
      <c r="T11" s="99"/>
      <c r="U11" s="314"/>
      <c r="V11" s="99"/>
      <c r="W11" s="314"/>
      <c r="X11" s="99"/>
      <c r="Y11" s="314"/>
      <c r="Z11" s="99"/>
      <c r="AA11" s="314"/>
      <c r="AB11" s="99"/>
      <c r="AC11" s="314"/>
      <c r="AD11" s="99"/>
      <c r="AE11" s="314"/>
    </row>
    <row r="12" spans="1:31" ht="13.5" thickBot="1">
      <c r="A12" s="167" t="s">
        <v>415</v>
      </c>
      <c r="B12" s="283">
        <f>SUM(B4:B11)</f>
        <v>1460000</v>
      </c>
      <c r="C12" s="320">
        <f>SUMPRODUCT($B4:$B11,C4:C11)</f>
        <v>1952882456.1637263</v>
      </c>
      <c r="D12" s="320">
        <f aca="true" t="shared" si="1" ref="D12:J12">SUMPRODUCT($B4:$B11,D4:D11)</f>
        <v>1926606757.0667083</v>
      </c>
      <c r="E12" s="320">
        <f t="shared" si="1"/>
        <v>1919633737.8490484</v>
      </c>
      <c r="F12" s="320">
        <f t="shared" si="1"/>
        <v>1896888099.5954115</v>
      </c>
      <c r="G12" s="320">
        <f t="shared" si="1"/>
        <v>2077848686.789348</v>
      </c>
      <c r="H12" s="320">
        <f t="shared" si="1"/>
        <v>2050955998.651951</v>
      </c>
      <c r="I12" s="320">
        <f t="shared" si="1"/>
        <v>2044243016.7455254</v>
      </c>
      <c r="J12" s="320">
        <f t="shared" si="1"/>
        <v>2021488233.3874707</v>
      </c>
      <c r="M12" s="103"/>
      <c r="N12" s="103"/>
      <c r="O12" s="171" t="s">
        <v>367</v>
      </c>
      <c r="P12" s="99">
        <v>1</v>
      </c>
      <c r="Q12" s="314">
        <v>0.4161613107960638</v>
      </c>
      <c r="R12" s="99">
        <v>2</v>
      </c>
      <c r="S12" s="314">
        <v>0.3468010923300532</v>
      </c>
      <c r="T12" s="99"/>
      <c r="U12" s="314"/>
      <c r="V12" s="99"/>
      <c r="W12" s="314"/>
      <c r="X12" s="99"/>
      <c r="Y12" s="314"/>
      <c r="Z12" s="99"/>
      <c r="AA12" s="314"/>
      <c r="AB12" s="99"/>
      <c r="AC12" s="314"/>
      <c r="AD12" s="99"/>
      <c r="AE12" s="314"/>
    </row>
    <row r="13" spans="13:31" ht="12.75">
      <c r="M13" s="103"/>
      <c r="N13" s="103"/>
      <c r="O13" s="171" t="s">
        <v>369</v>
      </c>
      <c r="P13" s="99">
        <v>1</v>
      </c>
      <c r="Q13" s="314">
        <v>0.6175942946361213</v>
      </c>
      <c r="R13" s="99">
        <v>2</v>
      </c>
      <c r="S13" s="314">
        <v>0.5146619121967677</v>
      </c>
      <c r="T13" s="99"/>
      <c r="U13" s="314"/>
      <c r="V13" s="99"/>
      <c r="W13" s="314"/>
      <c r="X13" s="99"/>
      <c r="Y13" s="314"/>
      <c r="Z13" s="99"/>
      <c r="AA13" s="314"/>
      <c r="AB13" s="99"/>
      <c r="AC13" s="314"/>
      <c r="AD13" s="99"/>
      <c r="AE13" s="314"/>
    </row>
    <row r="14" spans="5:31" ht="12.75">
      <c r="E14" s="82"/>
      <c r="F14" s="174"/>
      <c r="I14" s="82"/>
      <c r="J14" s="82"/>
      <c r="K14" s="82"/>
      <c r="M14" s="82"/>
      <c r="N14" s="103"/>
      <c r="O14" s="171" t="s">
        <v>371</v>
      </c>
      <c r="P14" s="99">
        <v>1</v>
      </c>
      <c r="Q14" s="314">
        <v>0.3440393281668496</v>
      </c>
      <c r="R14" s="99">
        <v>2</v>
      </c>
      <c r="S14" s="314">
        <v>0.28669944013904136</v>
      </c>
      <c r="T14" s="99"/>
      <c r="U14" s="314"/>
      <c r="V14" s="99"/>
      <c r="W14" s="314"/>
      <c r="X14" s="99"/>
      <c r="Y14" s="314"/>
      <c r="Z14" s="99"/>
      <c r="AA14" s="314"/>
      <c r="AB14" s="99"/>
      <c r="AC14" s="314"/>
      <c r="AD14" s="99"/>
      <c r="AE14" s="314"/>
    </row>
    <row r="15" spans="2:31" ht="12.75">
      <c r="B15" s="174"/>
      <c r="C15" s="174"/>
      <c r="D15" s="174"/>
      <c r="E15" s="82"/>
      <c r="I15" s="82"/>
      <c r="J15" s="82"/>
      <c r="K15" s="82"/>
      <c r="M15" s="82"/>
      <c r="N15" s="103"/>
      <c r="O15" s="171" t="s">
        <v>370</v>
      </c>
      <c r="P15" s="99">
        <v>3</v>
      </c>
      <c r="Q15" s="314">
        <v>0.4560432291746616</v>
      </c>
      <c r="R15" s="99">
        <v>5</v>
      </c>
      <c r="S15" s="314">
        <v>0.45604322917466156</v>
      </c>
      <c r="T15" s="99"/>
      <c r="U15" s="314"/>
      <c r="V15" s="99"/>
      <c r="W15" s="314"/>
      <c r="X15" s="99"/>
      <c r="Y15" s="314"/>
      <c r="Z15" s="99"/>
      <c r="AA15" s="314"/>
      <c r="AB15" s="99"/>
      <c r="AC15" s="314"/>
      <c r="AD15" s="99"/>
      <c r="AE15" s="314"/>
    </row>
    <row r="16" spans="1:31" ht="15.75">
      <c r="A16" s="138" t="s">
        <v>417</v>
      </c>
      <c r="C16" s="166"/>
      <c r="D16" s="174"/>
      <c r="E16" s="174"/>
      <c r="I16" s="82"/>
      <c r="J16" s="82"/>
      <c r="K16" s="82"/>
      <c r="M16" s="82"/>
      <c r="N16" s="103"/>
      <c r="O16" s="171" t="s">
        <v>373</v>
      </c>
      <c r="P16" s="99">
        <v>1</v>
      </c>
      <c r="Q16" s="314">
        <v>0.29486980189838696</v>
      </c>
      <c r="R16" s="99">
        <v>2</v>
      </c>
      <c r="S16" s="314">
        <v>0.24572483491532252</v>
      </c>
      <c r="T16" s="99"/>
      <c r="U16" s="314"/>
      <c r="V16" s="99"/>
      <c r="W16" s="314"/>
      <c r="X16" s="99"/>
      <c r="Y16" s="314"/>
      <c r="Z16" s="99"/>
      <c r="AA16" s="314"/>
      <c r="AB16" s="99"/>
      <c r="AC16" s="314"/>
      <c r="AD16" s="99"/>
      <c r="AE16" s="314"/>
    </row>
    <row r="17" spans="3:31" ht="13.5" thickBot="1">
      <c r="C17"/>
      <c r="D17"/>
      <c r="I17" s="82"/>
      <c r="J17" s="82"/>
      <c r="K17" s="82"/>
      <c r="L17" s="82"/>
      <c r="M17" s="82"/>
      <c r="N17" s="103"/>
      <c r="O17" s="171" t="s">
        <v>372</v>
      </c>
      <c r="P17" s="99">
        <v>3</v>
      </c>
      <c r="Q17" s="314">
        <v>0.3908662924100852</v>
      </c>
      <c r="R17" s="99">
        <v>5</v>
      </c>
      <c r="S17" s="314">
        <v>0.39086629241008525</v>
      </c>
      <c r="T17" s="99"/>
      <c r="U17" s="314"/>
      <c r="V17" s="99"/>
      <c r="W17" s="314"/>
      <c r="X17" s="99"/>
      <c r="Y17" s="314"/>
      <c r="Z17" s="99"/>
      <c r="AA17" s="314"/>
      <c r="AB17" s="99"/>
      <c r="AC17" s="314"/>
      <c r="AD17" s="99"/>
      <c r="AE17" s="314"/>
    </row>
    <row r="18" spans="2:31" ht="13.5" thickBot="1">
      <c r="B18" s="167" t="s">
        <v>414</v>
      </c>
      <c r="C18" s="279" t="s">
        <v>416</v>
      </c>
      <c r="D18" s="279" t="s">
        <v>491</v>
      </c>
      <c r="E18" s="279" t="s">
        <v>413</v>
      </c>
      <c r="F18" s="339" t="s">
        <v>412</v>
      </c>
      <c r="H18" s="367"/>
      <c r="I18" s="368"/>
      <c r="J18" s="374"/>
      <c r="K18" s="82"/>
      <c r="L18" s="82"/>
      <c r="M18" s="82"/>
      <c r="N18" s="103"/>
      <c r="O18" s="171" t="s">
        <v>377</v>
      </c>
      <c r="P18" s="99">
        <v>2</v>
      </c>
      <c r="Q18" s="314">
        <v>0.41642877574181747</v>
      </c>
      <c r="R18" s="99">
        <v>3</v>
      </c>
      <c r="S18" s="314">
        <v>0.46269863971313047</v>
      </c>
      <c r="T18" s="99"/>
      <c r="U18" s="314"/>
      <c r="V18" s="99"/>
      <c r="W18" s="314"/>
      <c r="X18" s="99"/>
      <c r="Y18" s="314"/>
      <c r="Z18" s="99"/>
      <c r="AA18" s="314"/>
      <c r="AB18" s="99"/>
      <c r="AC18" s="314"/>
      <c r="AD18" s="99"/>
      <c r="AE18" s="314"/>
    </row>
    <row r="19" spans="2:31" ht="15.75">
      <c r="B19" s="363">
        <f>A0T</f>
        <v>0</v>
      </c>
      <c r="C19" s="287">
        <f>A0W</f>
        <v>15000</v>
      </c>
      <c r="D19" s="287">
        <v>26.846392371541658</v>
      </c>
      <c r="E19" s="217">
        <f>A0W/30*((Y0+(YF-Y0)/(1-EXP(-b*RT)))*(A1T-A0T)+(YF-Y0)/b/(1-EXP(-b*RT))*(EXP(-b*A1T)-EXP(-b*A0T)))</f>
        <v>48086.77044053771</v>
      </c>
      <c r="F19" s="70">
        <f>R0*A0W/30*EXP(-a*(D19+VT))*((YF-Y0*EXP(-b*RT))/a/(1-EXP(-b*RT))*(EXP(-a*A0T)-EXP(-a*A1T))+(YF-Y0)/(a+b)/(1-EXP(-b*RT))*(EXP(-(a+b)*A1T)-EXP(-(a+b)*A0T)))</f>
        <v>406057868.03434837</v>
      </c>
      <c r="H19" s="369" t="s">
        <v>424</v>
      </c>
      <c r="I19" s="370"/>
      <c r="J19" s="375">
        <f>+PC_FT*YF*R0/30*(1-EXP(-a*LIFE))/a</f>
        <v>7555846709.875661</v>
      </c>
      <c r="K19" s="82"/>
      <c r="L19" s="82"/>
      <c r="M19" s="82"/>
      <c r="N19" s="103"/>
      <c r="O19" s="171" t="s">
        <v>374</v>
      </c>
      <c r="P19" s="99">
        <v>2</v>
      </c>
      <c r="Q19" s="314">
        <v>0.41296509941114257</v>
      </c>
      <c r="R19" s="99">
        <v>3</v>
      </c>
      <c r="S19" s="314">
        <v>0.45885011045682506</v>
      </c>
      <c r="T19" s="99"/>
      <c r="U19" s="314"/>
      <c r="V19" s="99"/>
      <c r="W19" s="314"/>
      <c r="X19" s="99"/>
      <c r="Y19" s="314"/>
      <c r="Z19" s="99"/>
      <c r="AA19" s="314"/>
      <c r="AB19" s="99"/>
      <c r="AC19" s="314"/>
      <c r="AD19" s="99"/>
      <c r="AE19" s="314"/>
    </row>
    <row r="20" spans="2:31" ht="12.75">
      <c r="B20" s="364">
        <f>A1T</f>
        <v>120</v>
      </c>
      <c r="C20" s="288">
        <f>A1W</f>
        <v>25000</v>
      </c>
      <c r="D20" s="288">
        <v>26.846392371541658</v>
      </c>
      <c r="E20" s="340">
        <f>IF((A1T&gt;=RT),A1W*(IF((A2T&gt;0),A2T,LIFE)-A1T)*YF/30,A1W/30*((Y0+(YF-Y0)/(1-EXP(-b*RT)))*(A2T-A1T)+(YF-Y0)/b/(1-EXP(-b*RT))*(EXP(-b*A2T)-EXP(-b*A1T))))</f>
        <v>1330000</v>
      </c>
      <c r="F20" s="71">
        <f>IF((A1T&gt;=RT),R0*A1W/30*EXP(-a*(D20+VT))*YF*(EXP(-a*A1T)-EXP(-a*IF((A2T&gt;0),A2T,LIFE)))/a,R0*A1W/30*EXP(-a*(D20+VT))*((YF-Y0*EXP(-b*RT))/a/(1-EXP(-b*RT))*(EXP(-a*A1T)-EXP(-a*IF((A2T&gt;0),A2T,LIFE)))+(YF-Y0)/(a+b)/(1-EXP(-b*RT))*(EXP(-(a+b)*IF((A2T&gt;0),A2T,LIFE))-EXP(-(a+b)*A1T))))</f>
        <v>5913664036.10861</v>
      </c>
      <c r="H20" s="371"/>
      <c r="I20" s="372"/>
      <c r="J20" s="376"/>
      <c r="K20" s="82"/>
      <c r="L20" s="82"/>
      <c r="M20" s="82"/>
      <c r="N20" s="103"/>
      <c r="O20" s="171" t="s">
        <v>375</v>
      </c>
      <c r="P20" s="99">
        <v>9</v>
      </c>
      <c r="Q20" s="314">
        <v>0.4751990662699529</v>
      </c>
      <c r="R20" s="99">
        <v>14</v>
      </c>
      <c r="S20" s="314">
        <v>0.5091418567178067</v>
      </c>
      <c r="T20" s="99"/>
      <c r="U20" s="314"/>
      <c r="V20" s="99"/>
      <c r="W20" s="314"/>
      <c r="X20" s="99"/>
      <c r="Y20" s="314"/>
      <c r="Z20" s="99"/>
      <c r="AA20" s="314"/>
      <c r="AB20" s="99"/>
      <c r="AC20" s="314"/>
      <c r="AD20" s="99"/>
      <c r="AE20" s="314"/>
    </row>
    <row r="21" spans="2:31" ht="15.75">
      <c r="B21" s="364">
        <f>A2T</f>
        <v>0</v>
      </c>
      <c r="C21" s="288">
        <f>A2W</f>
        <v>0</v>
      </c>
      <c r="D21" s="288"/>
      <c r="E21" s="340">
        <f>IF((A2T&gt;=RT),A2W*(IF((A3T&gt;0),A3T,LIFE)-A2T)*YF/30,A2W/30*((Y0+(YF-Y0)/(1-EXP(-b*RT)))*(A3T-A2T)+(YF-Y0)/b/(1-EXP(-b*RT))*(EXP(-b*A3T)-EXP(-b*A2T))))</f>
        <v>0</v>
      </c>
      <c r="F21" s="71">
        <f>IF((A2T&gt;=RT),R0*A2W/30*EXP(-a*(D21+VT))*YF*(EXP(-a*A2T)-EXP(-a*IF((A3T&gt;0),A3T,LIFE)))/a,R0*A2W/30*EXP(-a*(D21+VT))*((YF-Y0*EXP(-b*RT))/a/(1-EXP(-b*RT))*(EXP(-a*A2T)-EXP(-a*IF((A3T&gt;0),A3T,LIFE)))+(YF-Y0)/(a+b)/(1-EXP(-b*RT))*(EXP(-(a+b)*IF((A3T&gt;0),A3T,LIFE))-EXP(-(a+b)*A2T))))</f>
        <v>0</v>
      </c>
      <c r="H21" s="369" t="s">
        <v>434</v>
      </c>
      <c r="I21" s="370"/>
      <c r="J21" s="375">
        <f>J19-PC_TR</f>
        <v>1236124805.7327023</v>
      </c>
      <c r="K21" s="82"/>
      <c r="L21" s="82"/>
      <c r="M21" s="82"/>
      <c r="N21" s="103"/>
      <c r="O21" s="171" t="s">
        <v>376</v>
      </c>
      <c r="P21" s="99">
        <v>5</v>
      </c>
      <c r="Q21" s="314">
        <v>0.4419947465569839</v>
      </c>
      <c r="R21" s="99">
        <v>7</v>
      </c>
      <c r="S21" s="314">
        <v>0.5261842220916476</v>
      </c>
      <c r="T21" s="99"/>
      <c r="U21" s="314"/>
      <c r="V21" s="99"/>
      <c r="W21" s="314"/>
      <c r="X21" s="99"/>
      <c r="Y21" s="314"/>
      <c r="Z21" s="99"/>
      <c r="AA21" s="314"/>
      <c r="AB21" s="99"/>
      <c r="AC21" s="314"/>
      <c r="AD21" s="99"/>
      <c r="AE21" s="314"/>
    </row>
    <row r="22" spans="2:31" ht="12.75">
      <c r="B22" s="364">
        <f>A3T</f>
        <v>0</v>
      </c>
      <c r="C22" s="288">
        <f>A3W</f>
        <v>0</v>
      </c>
      <c r="D22" s="288"/>
      <c r="E22" s="340">
        <f>IF((A3T&gt;=RT),A3W*(IF((A4T&gt;0),A4T,LIFE)-A3T)*YF/30,A3W/30*((Y0+(YF-Y0)/(1-EXP(-b*RT)))*(A4T-A3T)+(YF-Y0)/b/(1-EXP(-b*RT))*(EXP(-b*A4T)-EXP(-b*A3T))))</f>
        <v>0</v>
      </c>
      <c r="F22" s="71">
        <f>IF((A3T&gt;=RT),R0*A3W/30*EXP(-a*(D22+VT))*YF*(EXP(-a*A3T)-EXP(-a*IF((A4T&gt;0),A4T,LIFE)))/a,R0*A3W/30*EXP(-a*(D22+VT))*((YF-Y0*EXP(-b*RT))/a/(1-EXP(-b*RT))*(EXP(-a*A3T)-EXP(-a*IF((A4T&gt;0),A4T,LIFE)))+(YF-Y0)/(a+b)/(1-EXP(-b*RT))*(EXP(-(a+b)*IF((A4T&gt;0),A4T,LIFE))-EXP(-(a+b)*A3T))))</f>
        <v>0</v>
      </c>
      <c r="H22" s="371"/>
      <c r="I22" s="372"/>
      <c r="J22" s="377"/>
      <c r="K22" s="82"/>
      <c r="L22" s="82"/>
      <c r="M22" s="82"/>
      <c r="N22" s="103"/>
      <c r="O22" s="171" t="s">
        <v>378</v>
      </c>
      <c r="P22" s="99">
        <v>6</v>
      </c>
      <c r="Q22" s="314">
        <v>0.5703074699270175</v>
      </c>
      <c r="R22" s="99">
        <v>10</v>
      </c>
      <c r="S22" s="314">
        <v>0.5703074699270176</v>
      </c>
      <c r="T22" s="99"/>
      <c r="U22" s="314"/>
      <c r="V22" s="99"/>
      <c r="W22" s="314"/>
      <c r="X22" s="99"/>
      <c r="Y22" s="314"/>
      <c r="Z22" s="99"/>
      <c r="AA22" s="314"/>
      <c r="AB22" s="99"/>
      <c r="AC22" s="314"/>
      <c r="AD22" s="99"/>
      <c r="AE22" s="314"/>
    </row>
    <row r="23" spans="2:31" ht="16.5" thickBot="1">
      <c r="B23" s="364">
        <f>A4T</f>
        <v>0</v>
      </c>
      <c r="C23" s="288">
        <f>A4W</f>
        <v>0</v>
      </c>
      <c r="D23" s="288"/>
      <c r="E23" s="340">
        <f>IF((A4T&gt;=RT),A4W*(IF((A5T&gt;0),A5T,LIFE)-A4T)*YF/30,A4W/30*((Y0+(YF-Y0)/(1-EXP(-b*RT)))*(A5T-A4T)+(YF-Y0)/b/(1-EXP(-b*RT))*(EXP(-b*A5T)-EXP(-b*A4T))))</f>
        <v>0</v>
      </c>
      <c r="F23" s="71">
        <f>IF((A4T&gt;=RT),R0*A4W/30*EXP(-a*(D23+VT))*YF*(EXP(-a*A4T)-EXP(-a*IF((A5T&gt;0),A5T,LIFE)))/a,R0*A4W/30*EXP(-a*(D23+VT))*((YF-Y0*EXP(-b*RT))/a/(1-EXP(-b*RT))*(EXP(-a*A4T)-EXP(-a*IF((A5T&gt;0),A5T,LIFE)))+(YF-Y0)/(a+b)/(1-EXP(-b*RT))*(EXP(-(a+b)*IF((A5T&gt;0),A5T,LIFE))-EXP(-(a+b)*A4T))))</f>
        <v>0</v>
      </c>
      <c r="H23" s="365" t="s">
        <v>435</v>
      </c>
      <c r="I23" s="373"/>
      <c r="J23" s="366">
        <f>J21/PC_TD</f>
        <v>896.9861929213253</v>
      </c>
      <c r="K23" s="174"/>
      <c r="L23" s="82"/>
      <c r="M23" s="174"/>
      <c r="N23" s="103"/>
      <c r="O23" s="171" t="s">
        <v>63</v>
      </c>
      <c r="P23" s="99">
        <v>2</v>
      </c>
      <c r="Q23" s="314">
        <v>0.34667732783001104</v>
      </c>
      <c r="R23" s="99">
        <v>2</v>
      </c>
      <c r="S23" s="314">
        <v>0.5777955463833517</v>
      </c>
      <c r="T23" s="99"/>
      <c r="U23" s="314"/>
      <c r="V23" s="99"/>
      <c r="W23" s="314"/>
      <c r="X23" s="99"/>
      <c r="Y23" s="314"/>
      <c r="Z23" s="99"/>
      <c r="AA23" s="314"/>
      <c r="AB23" s="99"/>
      <c r="AC23" s="314"/>
      <c r="AD23" s="99"/>
      <c r="AE23" s="314"/>
    </row>
    <row r="24" spans="2:31" ht="12.75">
      <c r="B24" s="364">
        <f>A5T</f>
        <v>0</v>
      </c>
      <c r="C24" s="288">
        <f>A5W</f>
        <v>0</v>
      </c>
      <c r="D24" s="288"/>
      <c r="E24" s="340">
        <f>IF((A5T&gt;=RT),A5W*(IF((A6T&gt;0),A6T,LIFE)-A5T)*YF/30,A5W/30*((Y0+(YF-Y0)/(1-EXP(-b*RT)))*(A6T-A5T)+(YF-Y0)/b/(1-EXP(-b*RT))*(EXP(-b*A6T)-EXP(-b*A5T))))</f>
        <v>0</v>
      </c>
      <c r="F24" s="71">
        <f>IF((A5T&gt;=RT),R0*A5W/30*EXP(-a*(D24+VT))*YF*(EXP(-a*A5T)-EXP(-a*IF((A6T&gt;0),A6T,LIFE)))/a,R0*A5W/30*EXP(-a*(D24+VT))*((YF-Y0*EXP(-b*RT))/a/(1-EXP(-b*RT))*(EXP(-a*A5T)-EXP(-a*IF((A6T&gt;0),A6T,LIFE)))+(YF-Y0)/(a+b)/(1-EXP(-b*RT))*(EXP(-(a+b)*IF((A6T&gt;0),A6T,LIFE))-EXP(-(a+b)*A5T))))</f>
        <v>0</v>
      </c>
      <c r="G24"/>
      <c r="I24" s="82"/>
      <c r="J24" s="82"/>
      <c r="K24" s="82"/>
      <c r="L24" s="82"/>
      <c r="M24" s="82"/>
      <c r="N24" s="103"/>
      <c r="O24" s="171" t="s">
        <v>379</v>
      </c>
      <c r="P24" s="99">
        <v>2</v>
      </c>
      <c r="Q24" s="314">
        <v>0.38592819569167586</v>
      </c>
      <c r="R24" s="99">
        <v>2</v>
      </c>
      <c r="S24" s="314">
        <v>0.6432136594861264</v>
      </c>
      <c r="T24" s="99"/>
      <c r="U24" s="314"/>
      <c r="V24" s="99"/>
      <c r="W24" s="314"/>
      <c r="X24" s="99"/>
      <c r="Y24" s="314"/>
      <c r="Z24" s="99"/>
      <c r="AA24" s="314"/>
      <c r="AB24" s="99"/>
      <c r="AC24" s="314"/>
      <c r="AD24" s="99"/>
      <c r="AE24" s="314"/>
    </row>
    <row r="25" spans="2:31" ht="12.75">
      <c r="B25" s="364">
        <f>A6T</f>
        <v>0</v>
      </c>
      <c r="C25" s="288">
        <f>A6W</f>
        <v>0</v>
      </c>
      <c r="D25" s="288"/>
      <c r="E25" s="340">
        <f>IF((A6T&gt;=RT),A6W*(IF((A7T&gt;0),A7T,LIFE)-A6T)*YF/30,A6W/30*((Y0+(YF-Y0)/(1-EXP(-b*RT)))*(A7T-A6T)+(YF-Y0)/b/(1-EXP(-b*RT))*(EXP(-b*A7T)-EXP(-b*A6T))))</f>
        <v>0</v>
      </c>
      <c r="F25" s="71">
        <f>IF((A6T&gt;=RT),R0*A6W/30*EXP(-a*(D25+VT))*YF*(EXP(-a*A6T)-EXP(-a*IF((A7T&gt;0),A7T,LIFE)))/a,R0*A6W/30*EXP(-a*(D25+VT))*((YF-Y0*EXP(-b*RT))/a/(1-EXP(-b*RT))*(EXP(-a*A6T)-EXP(-a*IF((A7T&gt;0),A7T,LIFE)))+(YF-Y0)/(a+b)/(1-EXP(-b*RT))*(EXP(-(a+b)*IF((A7T&gt;0),A7T,LIFE))-EXP(-(a+b)*A6T))))</f>
        <v>0</v>
      </c>
      <c r="G25"/>
      <c r="I25" s="82"/>
      <c r="J25" s="82"/>
      <c r="K25" s="82"/>
      <c r="M25" s="82"/>
      <c r="N25" s="103"/>
      <c r="O25" s="171" t="s">
        <v>380</v>
      </c>
      <c r="P25" s="99">
        <v>4</v>
      </c>
      <c r="Q25" s="314">
        <v>0.5186314369952727</v>
      </c>
      <c r="R25" s="99">
        <v>6</v>
      </c>
      <c r="S25" s="314">
        <v>0.5762571522169696</v>
      </c>
      <c r="T25" s="99"/>
      <c r="U25" s="314"/>
      <c r="V25" s="99"/>
      <c r="W25" s="314"/>
      <c r="X25" s="99"/>
      <c r="Y25" s="314"/>
      <c r="Z25" s="99"/>
      <c r="AA25" s="314"/>
      <c r="AB25" s="99"/>
      <c r="AC25" s="314"/>
      <c r="AD25" s="99"/>
      <c r="AE25" s="314"/>
    </row>
    <row r="26" spans="2:31" ht="13.5" thickBot="1">
      <c r="B26" s="364">
        <f>A7T</f>
        <v>0</v>
      </c>
      <c r="C26" s="288">
        <f>A7W</f>
        <v>0</v>
      </c>
      <c r="D26" s="288"/>
      <c r="E26" s="340">
        <f>A7W*(LIFE-A7T)*YF/30</f>
        <v>0</v>
      </c>
      <c r="F26" s="71">
        <f>R0*A7W/30*EXP(-a*(D26+VT))*YF*(EXP(-a*A7T)-EXP(-a*LIFE))/a</f>
        <v>0</v>
      </c>
      <c r="G26" s="82"/>
      <c r="H26" s="82"/>
      <c r="J26" s="82"/>
      <c r="K26" s="82"/>
      <c r="M26" s="82"/>
      <c r="N26" s="103"/>
      <c r="O26" s="171" t="s">
        <v>381</v>
      </c>
      <c r="P26" s="99">
        <v>5</v>
      </c>
      <c r="Q26" s="314">
        <v>0.49900803244759084</v>
      </c>
      <c r="R26" s="99">
        <v>9</v>
      </c>
      <c r="S26" s="314">
        <v>0.46204447448851</v>
      </c>
      <c r="T26" s="99"/>
      <c r="U26" s="314"/>
      <c r="V26" s="99"/>
      <c r="W26" s="314"/>
      <c r="X26" s="99"/>
      <c r="Y26" s="314"/>
      <c r="Z26" s="99"/>
      <c r="AA26" s="314"/>
      <c r="AB26" s="99"/>
      <c r="AC26" s="314"/>
      <c r="AD26" s="99"/>
      <c r="AE26" s="314"/>
    </row>
    <row r="27" spans="2:31" ht="13.5" thickBot="1">
      <c r="B27" s="283" t="s">
        <v>415</v>
      </c>
      <c r="C27" s="448">
        <f>MAX(C19:C26)</f>
        <v>25000</v>
      </c>
      <c r="D27" s="448"/>
      <c r="E27" s="341">
        <f>SUM(E19:E26)</f>
        <v>1378086.7704405377</v>
      </c>
      <c r="F27" s="341">
        <f>SUM(F19:F26)</f>
        <v>6319721904.142959</v>
      </c>
      <c r="G27" s="82"/>
      <c r="H27"/>
      <c r="J27" s="82"/>
      <c r="K27" s="82"/>
      <c r="M27" s="82"/>
      <c r="N27" s="103"/>
      <c r="O27" s="171" t="s">
        <v>382</v>
      </c>
      <c r="P27" s="99">
        <v>2</v>
      </c>
      <c r="Q27" s="314">
        <v>0.34714786804033176</v>
      </c>
      <c r="R27" s="99">
        <v>3</v>
      </c>
      <c r="S27" s="314">
        <v>0.38571985337814646</v>
      </c>
      <c r="T27" s="99"/>
      <c r="U27" s="314"/>
      <c r="V27" s="99"/>
      <c r="W27" s="314"/>
      <c r="X27" s="99"/>
      <c r="Y27" s="314"/>
      <c r="Z27" s="99"/>
      <c r="AA27" s="314"/>
      <c r="AB27" s="99"/>
      <c r="AC27" s="314"/>
      <c r="AD27" s="99"/>
      <c r="AE27" s="314"/>
    </row>
    <row r="28" spans="7:31" ht="12.75">
      <c r="G28" s="82"/>
      <c r="H28"/>
      <c r="J28" s="82"/>
      <c r="K28" s="82"/>
      <c r="M28" s="82"/>
      <c r="N28" s="103"/>
      <c r="O28" s="171" t="s">
        <v>384</v>
      </c>
      <c r="P28" s="99">
        <v>8</v>
      </c>
      <c r="Q28" s="314">
        <v>0.4911024471416401</v>
      </c>
      <c r="R28" s="99">
        <v>14</v>
      </c>
      <c r="S28" s="314">
        <v>0.46771661632537154</v>
      </c>
      <c r="T28" s="99"/>
      <c r="U28" s="314"/>
      <c r="V28" s="99"/>
      <c r="W28" s="314"/>
      <c r="X28" s="99"/>
      <c r="Y28" s="314"/>
      <c r="Z28" s="99"/>
      <c r="AA28" s="314"/>
      <c r="AB28" s="99"/>
      <c r="AC28" s="314"/>
      <c r="AD28" s="99"/>
      <c r="AE28" s="314"/>
    </row>
    <row r="29" spans="2:31" ht="12.75">
      <c r="B29"/>
      <c r="C29"/>
      <c r="F29" s="82"/>
      <c r="G29" s="82"/>
      <c r="H29"/>
      <c r="J29" s="82"/>
      <c r="K29" s="82"/>
      <c r="M29" s="82"/>
      <c r="N29" s="103"/>
      <c r="O29" s="171" t="s">
        <v>383</v>
      </c>
      <c r="P29" s="99">
        <v>3</v>
      </c>
      <c r="Q29" s="314">
        <v>0.3942137217264469</v>
      </c>
      <c r="R29" s="99">
        <v>4</v>
      </c>
      <c r="S29" s="314">
        <v>0.49276715215805866</v>
      </c>
      <c r="T29" s="99"/>
      <c r="U29" s="314"/>
      <c r="V29" s="99"/>
      <c r="W29" s="314"/>
      <c r="X29" s="99"/>
      <c r="Y29" s="314"/>
      <c r="Z29" s="99"/>
      <c r="AA29" s="314"/>
      <c r="AB29" s="99"/>
      <c r="AC29" s="314"/>
      <c r="AD29" s="99"/>
      <c r="AE29" s="314"/>
    </row>
    <row r="30" spans="6:31" ht="12.75">
      <c r="F30" s="82"/>
      <c r="G30" s="82"/>
      <c r="H30"/>
      <c r="J30" s="82"/>
      <c r="K30" s="82"/>
      <c r="M30" s="82"/>
      <c r="N30" s="103"/>
      <c r="O30" s="171" t="s">
        <v>385</v>
      </c>
      <c r="P30" s="99">
        <v>2</v>
      </c>
      <c r="Q30" s="314">
        <v>0.3460344640688697</v>
      </c>
      <c r="R30" s="99">
        <v>3</v>
      </c>
      <c r="S30" s="314">
        <v>0.3844827378542996</v>
      </c>
      <c r="T30" s="99"/>
      <c r="U30" s="314"/>
      <c r="V30" s="99"/>
      <c r="W30" s="314"/>
      <c r="X30" s="99"/>
      <c r="Y30" s="314"/>
      <c r="Z30" s="99"/>
      <c r="AA30" s="314"/>
      <c r="AB30" s="99"/>
      <c r="AC30" s="314"/>
      <c r="AD30" s="99"/>
      <c r="AE30" s="314"/>
    </row>
    <row r="31" spans="1:31" ht="15.75">
      <c r="A31" s="138" t="s">
        <v>229</v>
      </c>
      <c r="H31" s="174"/>
      <c r="I31" s="174"/>
      <c r="J31" s="174"/>
      <c r="K31" s="174"/>
      <c r="M31" s="174"/>
      <c r="N31" s="103"/>
      <c r="O31" s="171" t="s">
        <v>386</v>
      </c>
      <c r="P31" s="99">
        <v>2</v>
      </c>
      <c r="Q31" s="314">
        <v>0.34526953049349846</v>
      </c>
      <c r="R31" s="99">
        <v>3</v>
      </c>
      <c r="S31" s="314">
        <v>0.38363281165944274</v>
      </c>
      <c r="T31" s="99"/>
      <c r="U31" s="314"/>
      <c r="V31" s="99"/>
      <c r="W31" s="314"/>
      <c r="X31" s="99"/>
      <c r="Y31" s="314"/>
      <c r="Z31" s="99"/>
      <c r="AA31" s="314"/>
      <c r="AB31" s="99"/>
      <c r="AC31" s="314"/>
      <c r="AD31" s="99"/>
      <c r="AE31" s="314"/>
    </row>
    <row r="32" spans="9:31" ht="13.5" thickBot="1">
      <c r="I32" s="82"/>
      <c r="J32" s="82"/>
      <c r="K32" s="82"/>
      <c r="M32" s="82"/>
      <c r="N32" s="103"/>
      <c r="O32" s="171" t="s">
        <v>387</v>
      </c>
      <c r="P32" s="99">
        <v>2</v>
      </c>
      <c r="Q32" s="314">
        <v>0.20781345893456948</v>
      </c>
      <c r="R32" s="99">
        <v>2</v>
      </c>
      <c r="S32" s="314">
        <v>0.34635576489094916</v>
      </c>
      <c r="T32" s="99"/>
      <c r="U32" s="314"/>
      <c r="V32" s="99"/>
      <c r="W32" s="314"/>
      <c r="X32" s="99"/>
      <c r="Y32" s="314"/>
      <c r="Z32" s="99"/>
      <c r="AA32" s="314"/>
      <c r="AB32" s="99"/>
      <c r="AC32" s="314"/>
      <c r="AD32" s="99"/>
      <c r="AE32" s="314"/>
    </row>
    <row r="33" spans="2:31" ht="13.5" thickBot="1">
      <c r="B33" s="289"/>
      <c r="C33" s="170" t="s">
        <v>257</v>
      </c>
      <c r="D33" s="168"/>
      <c r="E33" s="168"/>
      <c r="F33" s="169"/>
      <c r="G33" s="170" t="s">
        <v>204</v>
      </c>
      <c r="H33" s="168"/>
      <c r="I33" s="168"/>
      <c r="J33" s="169"/>
      <c r="M33" s="103"/>
      <c r="N33" s="103"/>
      <c r="O33" s="171" t="s">
        <v>388</v>
      </c>
      <c r="P33" s="99">
        <v>2</v>
      </c>
      <c r="Q33" s="314">
        <v>0.41467418377014137</v>
      </c>
      <c r="R33" s="99">
        <v>4</v>
      </c>
      <c r="S33" s="314">
        <v>0.34556181980845113</v>
      </c>
      <c r="T33" s="99"/>
      <c r="U33" s="314"/>
      <c r="V33" s="99"/>
      <c r="W33" s="314"/>
      <c r="X33" s="99"/>
      <c r="Y33" s="314"/>
      <c r="Z33" s="99"/>
      <c r="AA33" s="314"/>
      <c r="AB33" s="99"/>
      <c r="AC33" s="314"/>
      <c r="AD33" s="99"/>
      <c r="AE33" s="314"/>
    </row>
    <row r="34" spans="2:31" ht="13.5" thickBot="1">
      <c r="B34" s="289" t="s">
        <v>232</v>
      </c>
      <c r="C34" s="317" t="s">
        <v>271</v>
      </c>
      <c r="D34" s="318" t="s">
        <v>272</v>
      </c>
      <c r="E34" s="318" t="s">
        <v>273</v>
      </c>
      <c r="F34" s="319" t="s">
        <v>274</v>
      </c>
      <c r="G34" s="317" t="s">
        <v>271</v>
      </c>
      <c r="H34" s="318" t="s">
        <v>272</v>
      </c>
      <c r="I34" s="318" t="s">
        <v>273</v>
      </c>
      <c r="J34" s="319" t="s">
        <v>274</v>
      </c>
      <c r="M34" s="103"/>
      <c r="N34" s="103"/>
      <c r="O34" s="171" t="s">
        <v>389</v>
      </c>
      <c r="P34" s="99">
        <v>15</v>
      </c>
      <c r="Q34" s="314">
        <v>0.2951435673021249</v>
      </c>
      <c r="R34" s="99">
        <v>25</v>
      </c>
      <c r="S34" s="314">
        <v>0.295143567302125</v>
      </c>
      <c r="T34" s="99"/>
      <c r="U34" s="314"/>
      <c r="V34" s="99"/>
      <c r="W34" s="314"/>
      <c r="X34" s="99"/>
      <c r="Y34" s="314"/>
      <c r="Z34" s="99"/>
      <c r="AA34" s="314"/>
      <c r="AB34" s="99"/>
      <c r="AC34" s="314"/>
      <c r="AD34" s="99"/>
      <c r="AE34" s="314"/>
    </row>
    <row r="35" spans="2:31" ht="12.75">
      <c r="B35" s="288" t="s">
        <v>240</v>
      </c>
      <c r="C35" s="321">
        <f>C12/B12</f>
        <v>1337.5907233998125</v>
      </c>
      <c r="D35" s="322">
        <f aca="true" t="shared" si="2" ref="D35:J35">D12/$B$12</f>
        <v>1319.5936692237728</v>
      </c>
      <c r="E35" s="322">
        <f t="shared" si="2"/>
        <v>1314.8176286637317</v>
      </c>
      <c r="F35" s="323">
        <f t="shared" si="2"/>
        <v>1299.2384243804188</v>
      </c>
      <c r="G35" s="321">
        <f t="shared" si="2"/>
        <v>1423.1840320474985</v>
      </c>
      <c r="H35" s="322">
        <f t="shared" si="2"/>
        <v>1404.7643826383226</v>
      </c>
      <c r="I35" s="322">
        <f t="shared" si="2"/>
        <v>1400.1664498257023</v>
      </c>
      <c r="J35" s="323">
        <f t="shared" si="2"/>
        <v>1384.5809817722402</v>
      </c>
      <c r="M35" s="103"/>
      <c r="N35" s="103"/>
      <c r="O35" s="171" t="s">
        <v>390</v>
      </c>
      <c r="P35" s="99">
        <v>1</v>
      </c>
      <c r="Q35" s="314">
        <v>0.20711771343948426</v>
      </c>
      <c r="R35" s="99">
        <v>1</v>
      </c>
      <c r="S35" s="314">
        <v>0.3451961890658071</v>
      </c>
      <c r="T35" s="99"/>
      <c r="U35" s="314"/>
      <c r="V35" s="99"/>
      <c r="W35" s="314"/>
      <c r="X35" s="99"/>
      <c r="Y35" s="314"/>
      <c r="Z35" s="99"/>
      <c r="AA35" s="314"/>
      <c r="AB35" s="99"/>
      <c r="AC35" s="314"/>
      <c r="AD35" s="99"/>
      <c r="AE35" s="314"/>
    </row>
    <row r="36" spans="2:31" ht="12.75">
      <c r="B36" s="288"/>
      <c r="C36" s="324"/>
      <c r="D36" s="325"/>
      <c r="E36" s="325"/>
      <c r="F36" s="326"/>
      <c r="G36" s="324"/>
      <c r="H36" s="325"/>
      <c r="I36" s="325"/>
      <c r="J36" s="326"/>
      <c r="M36" s="103"/>
      <c r="N36" s="103"/>
      <c r="O36" s="171" t="s">
        <v>391</v>
      </c>
      <c r="P36" s="99">
        <v>3</v>
      </c>
      <c r="Q36" s="314">
        <v>0.5521767423955948</v>
      </c>
      <c r="R36" s="99">
        <v>4</v>
      </c>
      <c r="S36" s="314">
        <v>0.6902209279944935</v>
      </c>
      <c r="T36" s="99"/>
      <c r="U36" s="314"/>
      <c r="V36" s="99"/>
      <c r="W36" s="314"/>
      <c r="X36" s="99"/>
      <c r="Y36" s="314"/>
      <c r="Z36" s="99"/>
      <c r="AA36" s="314"/>
      <c r="AB36" s="99"/>
      <c r="AC36" s="314"/>
      <c r="AD36" s="99"/>
      <c r="AE36" s="314"/>
    </row>
    <row r="37" spans="2:31" ht="12.75">
      <c r="B37" s="288" t="s">
        <v>226</v>
      </c>
      <c r="C37" s="324">
        <f>C35*B12/(PC_TT/360)</f>
        <v>390576491.2327453</v>
      </c>
      <c r="D37" s="325">
        <f>+D35*12*'Input Data'!$C$57</f>
        <v>395878100.76713187</v>
      </c>
      <c r="E37" s="325">
        <f>+E35*12*'Input Data'!$C$57</f>
        <v>394445288.59911954</v>
      </c>
      <c r="F37" s="326">
        <f>+F35*12*'Input Data'!$C$57</f>
        <v>389771527.3141256</v>
      </c>
      <c r="G37" s="324">
        <f>+G35*12*'Input Data'!$C$57</f>
        <v>426955209.6142495</v>
      </c>
      <c r="H37" s="325">
        <f>+H35*12*'Input Data'!$C$57</f>
        <v>421429314.79149675</v>
      </c>
      <c r="I37" s="325">
        <f>+I35*12*'Input Data'!$C$57</f>
        <v>420049934.9477107</v>
      </c>
      <c r="J37" s="326">
        <f>+J35*12*'Input Data'!$C$57</f>
        <v>415374294.53167206</v>
      </c>
      <c r="M37" s="103"/>
      <c r="N37" s="103"/>
      <c r="O37" s="171" t="s">
        <v>392</v>
      </c>
      <c r="P37" s="99">
        <v>7</v>
      </c>
      <c r="Q37" s="314">
        <v>0.6869363671144723</v>
      </c>
      <c r="R37" s="99">
        <v>11</v>
      </c>
      <c r="S37" s="314">
        <v>0.7285688742123191</v>
      </c>
      <c r="T37" s="99"/>
      <c r="U37" s="314"/>
      <c r="V37" s="99"/>
      <c r="W37" s="314"/>
      <c r="X37" s="99"/>
      <c r="Y37" s="314"/>
      <c r="Z37" s="99"/>
      <c r="AA37" s="314"/>
      <c r="AB37" s="99"/>
      <c r="AC37" s="314"/>
      <c r="AD37" s="99"/>
      <c r="AE37" s="314"/>
    </row>
    <row r="38" spans="2:31" ht="13.5" thickBot="1">
      <c r="B38" s="288"/>
      <c r="C38" s="324"/>
      <c r="D38" s="325"/>
      <c r="E38" s="325"/>
      <c r="F38" s="326"/>
      <c r="G38" s="324"/>
      <c r="H38" s="325"/>
      <c r="I38" s="325"/>
      <c r="J38" s="326"/>
      <c r="M38" s="103"/>
      <c r="N38" s="103"/>
      <c r="O38" s="171" t="s">
        <v>393</v>
      </c>
      <c r="P38" s="99">
        <v>7</v>
      </c>
      <c r="Q38" s="314">
        <v>0.7366766469924435</v>
      </c>
      <c r="R38" s="99">
        <v>11</v>
      </c>
      <c r="S38" s="314">
        <v>0.7813237165071371</v>
      </c>
      <c r="T38" s="99"/>
      <c r="U38" s="314"/>
      <c r="V38" s="99"/>
      <c r="W38" s="314"/>
      <c r="X38" s="99"/>
      <c r="Y38" s="314"/>
      <c r="Z38" s="99"/>
      <c r="AA38" s="314"/>
      <c r="AB38" s="99"/>
      <c r="AC38" s="314"/>
      <c r="AD38" s="99"/>
      <c r="AE38" s="314"/>
    </row>
    <row r="39" spans="2:31" ht="12.75">
      <c r="B39" s="280" t="s">
        <v>227</v>
      </c>
      <c r="C39" s="327">
        <f aca="true" t="shared" si="3" ref="C39:J39">C12/PC_TD</f>
        <v>1417.0968752130475</v>
      </c>
      <c r="D39" s="328">
        <f t="shared" si="3"/>
        <v>1398.0300793765136</v>
      </c>
      <c r="E39" s="328">
        <f t="shared" si="3"/>
        <v>1392.97015182534</v>
      </c>
      <c r="F39" s="329">
        <f t="shared" si="3"/>
        <v>1376.4649224439088</v>
      </c>
      <c r="G39" s="327">
        <f t="shared" si="3"/>
        <v>1507.7778347187202</v>
      </c>
      <c r="H39" s="328">
        <f t="shared" si="3"/>
        <v>1488.2633246644657</v>
      </c>
      <c r="I39" s="328">
        <f t="shared" si="3"/>
        <v>1483.3920915531576</v>
      </c>
      <c r="J39" s="329">
        <f t="shared" si="3"/>
        <v>1466.8802260842072</v>
      </c>
      <c r="M39" s="103"/>
      <c r="N39" s="103"/>
      <c r="O39" s="171" t="s">
        <v>90</v>
      </c>
      <c r="P39" s="99">
        <v>9</v>
      </c>
      <c r="Q39" s="314">
        <v>0.3435458868611899</v>
      </c>
      <c r="R39" s="99">
        <v>15</v>
      </c>
      <c r="S39" s="314">
        <v>0.34354588686118986</v>
      </c>
      <c r="T39" s="99"/>
      <c r="U39" s="314"/>
      <c r="V39" s="99"/>
      <c r="W39" s="314"/>
      <c r="X39" s="99"/>
      <c r="Y39" s="314"/>
      <c r="Z39" s="99"/>
      <c r="AA39" s="314"/>
      <c r="AB39" s="99"/>
      <c r="AC39" s="314"/>
      <c r="AD39" s="99"/>
      <c r="AE39" s="314"/>
    </row>
    <row r="40" spans="2:31" ht="13.5" thickBot="1">
      <c r="B40" s="282" t="s">
        <v>228</v>
      </c>
      <c r="C40" s="330">
        <f>C39+PC_DCPD</f>
        <v>2314.0830681343728</v>
      </c>
      <c r="D40" s="331">
        <f>D39+PC_DCPD</f>
        <v>2295.016272297839</v>
      </c>
      <c r="E40" s="331">
        <f aca="true" t="shared" si="4" ref="E40:J40">E39+PC_DCPD</f>
        <v>2289.9563447466653</v>
      </c>
      <c r="F40" s="332">
        <f t="shared" si="4"/>
        <v>2273.451115365234</v>
      </c>
      <c r="G40" s="330">
        <f t="shared" si="4"/>
        <v>2404.7640276400452</v>
      </c>
      <c r="H40" s="331">
        <f t="shared" si="4"/>
        <v>2385.249517585791</v>
      </c>
      <c r="I40" s="331">
        <f t="shared" si="4"/>
        <v>2380.378284474483</v>
      </c>
      <c r="J40" s="332">
        <f t="shared" si="4"/>
        <v>2363.8664190055324</v>
      </c>
      <c r="K40" s="82"/>
      <c r="M40" s="82"/>
      <c r="N40" s="103"/>
      <c r="O40" s="171" t="s">
        <v>91</v>
      </c>
      <c r="P40" s="99">
        <v>8</v>
      </c>
      <c r="Q40" s="314">
        <v>0.3101311469303702</v>
      </c>
      <c r="R40" s="99">
        <v>12</v>
      </c>
      <c r="S40" s="314">
        <v>0.3445901632559671</v>
      </c>
      <c r="T40" s="99"/>
      <c r="U40" s="314"/>
      <c r="V40" s="99"/>
      <c r="W40" s="314"/>
      <c r="X40" s="99"/>
      <c r="Y40" s="314"/>
      <c r="Z40" s="99"/>
      <c r="AA40" s="314"/>
      <c r="AB40" s="99"/>
      <c r="AC40" s="314"/>
      <c r="AD40" s="99"/>
      <c r="AE40" s="314"/>
    </row>
    <row r="41" spans="6:31" ht="12.75">
      <c r="F41" s="174"/>
      <c r="G41" s="174"/>
      <c r="H41" s="174"/>
      <c r="I41" s="82"/>
      <c r="J41" s="82"/>
      <c r="K41" s="82"/>
      <c r="M41" s="82"/>
      <c r="N41" s="103"/>
      <c r="O41" s="171" t="s">
        <v>92</v>
      </c>
      <c r="P41" s="99">
        <v>7</v>
      </c>
      <c r="Q41" s="314">
        <v>0.2650621167933798</v>
      </c>
      <c r="R41" s="99">
        <v>11</v>
      </c>
      <c r="S41" s="314">
        <v>0.2811264875081301</v>
      </c>
      <c r="T41" s="99"/>
      <c r="U41" s="314"/>
      <c r="V41" s="99"/>
      <c r="W41" s="314"/>
      <c r="X41" s="99"/>
      <c r="Y41" s="314"/>
      <c r="Z41" s="99"/>
      <c r="AA41" s="314"/>
      <c r="AB41" s="99"/>
      <c r="AC41" s="314"/>
      <c r="AD41" s="99"/>
      <c r="AE41" s="314"/>
    </row>
    <row r="42" spans="6:31" ht="12.75">
      <c r="F42" s="174"/>
      <c r="G42" s="174"/>
      <c r="H42" s="174"/>
      <c r="I42" s="82"/>
      <c r="J42" s="82"/>
      <c r="K42" s="82"/>
      <c r="M42" s="82"/>
      <c r="N42" s="103"/>
      <c r="O42" s="171" t="s">
        <v>395</v>
      </c>
      <c r="P42" s="99">
        <v>1</v>
      </c>
      <c r="Q42" s="314">
        <v>0.3445800762503533</v>
      </c>
      <c r="R42" s="99">
        <v>2</v>
      </c>
      <c r="S42" s="314">
        <v>0.28715006354196104</v>
      </c>
      <c r="T42" s="99"/>
      <c r="U42" s="314"/>
      <c r="V42" s="99"/>
      <c r="W42" s="314"/>
      <c r="X42" s="99"/>
      <c r="Y42" s="314"/>
      <c r="Z42" s="99"/>
      <c r="AA42" s="314"/>
      <c r="AB42" s="99"/>
      <c r="AC42" s="314"/>
      <c r="AD42" s="99"/>
      <c r="AE42" s="314"/>
    </row>
    <row r="43" spans="1:31" ht="15.75">
      <c r="A43" s="138"/>
      <c r="B43" s="174"/>
      <c r="C43"/>
      <c r="F43" s="138"/>
      <c r="G43" s="174"/>
      <c r="H43"/>
      <c r="K43" s="174"/>
      <c r="M43" s="174"/>
      <c r="N43" s="103"/>
      <c r="O43" s="171" t="s">
        <v>394</v>
      </c>
      <c r="P43" s="99">
        <v>6</v>
      </c>
      <c r="Q43" s="314">
        <v>0.4279200436353949</v>
      </c>
      <c r="R43" s="99">
        <v>9</v>
      </c>
      <c r="S43" s="314">
        <v>0.47546671515043876</v>
      </c>
      <c r="T43" s="99"/>
      <c r="U43" s="314"/>
      <c r="V43" s="99"/>
      <c r="W43" s="314"/>
      <c r="X43" s="99"/>
      <c r="Y43" s="314"/>
      <c r="Z43" s="99"/>
      <c r="AA43" s="314"/>
      <c r="AB43" s="99"/>
      <c r="AC43" s="314"/>
      <c r="AD43" s="99"/>
      <c r="AE43" s="314"/>
    </row>
    <row r="44" spans="2:31" ht="12.75">
      <c r="B44" s="82"/>
      <c r="C44"/>
      <c r="G44" s="82"/>
      <c r="H44"/>
      <c r="K44" s="82"/>
      <c r="M44" s="82"/>
      <c r="N44" s="103"/>
      <c r="O44" s="171" t="s">
        <v>396</v>
      </c>
      <c r="P44" s="99">
        <v>2</v>
      </c>
      <c r="Q44" s="314">
        <v>0.4134075464826638</v>
      </c>
      <c r="R44" s="99">
        <v>3</v>
      </c>
      <c r="S44" s="314">
        <v>0.45934171831407083</v>
      </c>
      <c r="T44" s="99"/>
      <c r="U44" s="314"/>
      <c r="V44" s="99"/>
      <c r="W44" s="314"/>
      <c r="X44" s="99"/>
      <c r="Y44" s="314"/>
      <c r="Z44" s="99"/>
      <c r="AA44" s="314"/>
      <c r="AB44" s="99"/>
      <c r="AC44" s="314"/>
      <c r="AD44" s="99"/>
      <c r="AE44" s="314"/>
    </row>
    <row r="45" spans="13:31" ht="12.75" customHeight="1">
      <c r="M45" s="103"/>
      <c r="N45" s="103"/>
      <c r="O45" s="171" t="s">
        <v>97</v>
      </c>
      <c r="P45" s="99">
        <v>13</v>
      </c>
      <c r="Q45" s="314">
        <v>0.37857487298109843</v>
      </c>
      <c r="R45" s="99">
        <v>22</v>
      </c>
      <c r="S45" s="314">
        <v>0.37283889005714244</v>
      </c>
      <c r="T45" s="99"/>
      <c r="U45" s="314"/>
      <c r="V45" s="99"/>
      <c r="W45" s="314"/>
      <c r="X45" s="99"/>
      <c r="Y45" s="314"/>
      <c r="Z45" s="99"/>
      <c r="AA45" s="314"/>
      <c r="AB45" s="99"/>
      <c r="AC45" s="314"/>
      <c r="AD45" s="99"/>
      <c r="AE45" s="314"/>
    </row>
    <row r="46" spans="2:31" ht="15.75">
      <c r="B46" s="138"/>
      <c r="C46" s="174"/>
      <c r="D46"/>
      <c r="G46" s="138"/>
      <c r="H46" s="174"/>
      <c r="I46"/>
      <c r="M46" s="103"/>
      <c r="N46" s="103"/>
      <c r="O46" s="171" t="s">
        <v>397</v>
      </c>
      <c r="P46" s="99">
        <v>3</v>
      </c>
      <c r="Q46" s="314">
        <v>0.3919373670148187</v>
      </c>
      <c r="R46" s="99">
        <v>5</v>
      </c>
      <c r="S46" s="314">
        <v>0.3919373670148186</v>
      </c>
      <c r="T46" s="99"/>
      <c r="U46" s="314"/>
      <c r="V46" s="99"/>
      <c r="W46" s="314"/>
      <c r="X46" s="99"/>
      <c r="Y46" s="314"/>
      <c r="Z46" s="99"/>
      <c r="AA46" s="314"/>
      <c r="AB46" s="99"/>
      <c r="AC46" s="314"/>
      <c r="AD46" s="99"/>
      <c r="AE46" s="314"/>
    </row>
    <row r="47" spans="3:31" ht="12.75">
      <c r="C47" s="82"/>
      <c r="D47"/>
      <c r="H47" s="82"/>
      <c r="I47"/>
      <c r="M47" s="103"/>
      <c r="N47" s="103"/>
      <c r="O47" s="171" t="s">
        <v>399</v>
      </c>
      <c r="P47" s="99">
        <v>7</v>
      </c>
      <c r="Q47" s="314">
        <v>0.49280113249118745</v>
      </c>
      <c r="R47" s="99">
        <v>11</v>
      </c>
      <c r="S47" s="314">
        <v>0.5226678677936839</v>
      </c>
      <c r="T47" s="99"/>
      <c r="U47" s="314"/>
      <c r="V47" s="99"/>
      <c r="W47" s="314"/>
      <c r="X47" s="99"/>
      <c r="Y47" s="314"/>
      <c r="Z47" s="99"/>
      <c r="AA47" s="314"/>
      <c r="AB47" s="99"/>
      <c r="AC47" s="314"/>
      <c r="AD47" s="99"/>
      <c r="AE47" s="314"/>
    </row>
    <row r="48" spans="4:31" ht="13.5" thickBot="1">
      <c r="D48"/>
      <c r="I48"/>
      <c r="M48" s="103"/>
      <c r="N48" s="103"/>
      <c r="O48" s="171" t="s">
        <v>398</v>
      </c>
      <c r="P48" s="99">
        <v>6</v>
      </c>
      <c r="Q48" s="314">
        <v>0.497996627829919</v>
      </c>
      <c r="R48" s="99">
        <v>10</v>
      </c>
      <c r="S48" s="314">
        <v>0.497996627829919</v>
      </c>
      <c r="T48" s="99"/>
      <c r="U48" s="314"/>
      <c r="V48" s="100"/>
      <c r="W48" s="56"/>
      <c r="X48" s="100"/>
      <c r="Y48" s="56"/>
      <c r="Z48" s="100"/>
      <c r="AA48" s="56"/>
      <c r="AB48" s="100"/>
      <c r="AC48" s="56"/>
      <c r="AD48" s="99"/>
      <c r="AE48" s="314"/>
    </row>
    <row r="49" spans="4:31" ht="13.5" thickBot="1">
      <c r="D49"/>
      <c r="I49"/>
      <c r="M49" s="103"/>
      <c r="N49" s="103"/>
      <c r="O49" s="167" t="s">
        <v>169</v>
      </c>
      <c r="P49" s="315">
        <f aca="true" t="shared" si="5" ref="P49:AE49">SUM(P6:P48)</f>
        <v>196</v>
      </c>
      <c r="Q49" s="316">
        <f t="shared" si="5"/>
        <v>17.30512772174376</v>
      </c>
      <c r="R49" s="315">
        <f t="shared" si="5"/>
        <v>312</v>
      </c>
      <c r="S49" s="316">
        <f t="shared" si="5"/>
        <v>18.63459349751137</v>
      </c>
      <c r="T49" s="315">
        <f t="shared" si="5"/>
        <v>0</v>
      </c>
      <c r="U49" s="316">
        <f t="shared" si="5"/>
        <v>0</v>
      </c>
      <c r="V49" s="313">
        <f t="shared" si="5"/>
        <v>0</v>
      </c>
      <c r="W49" s="222">
        <f t="shared" si="5"/>
        <v>0</v>
      </c>
      <c r="X49" s="223">
        <f t="shared" si="5"/>
        <v>0</v>
      </c>
      <c r="Y49" s="222">
        <f t="shared" si="5"/>
        <v>0</v>
      </c>
      <c r="Z49" s="223">
        <f t="shared" si="5"/>
        <v>0</v>
      </c>
      <c r="AA49" s="222">
        <f t="shared" si="5"/>
        <v>0</v>
      </c>
      <c r="AB49" s="223">
        <f t="shared" si="5"/>
        <v>0</v>
      </c>
      <c r="AC49" s="222">
        <f t="shared" si="5"/>
        <v>0</v>
      </c>
      <c r="AD49" s="315">
        <f t="shared" si="5"/>
        <v>0</v>
      </c>
      <c r="AE49" s="316">
        <f t="shared" si="5"/>
        <v>0</v>
      </c>
    </row>
    <row r="50" spans="4:17" ht="12.75">
      <c r="D50"/>
      <c r="I50"/>
      <c r="M50" s="103"/>
      <c r="N50" s="103"/>
      <c r="O50" s="103"/>
      <c r="P50" s="103"/>
      <c r="Q50" s="103"/>
    </row>
    <row r="51" spans="4:17" ht="12.75">
      <c r="D51"/>
      <c r="I51"/>
      <c r="M51" s="103"/>
      <c r="N51" s="103"/>
      <c r="O51" s="103"/>
      <c r="P51" s="103"/>
      <c r="Q51" s="103"/>
    </row>
    <row r="52" spans="4:17" ht="12.75">
      <c r="D52"/>
      <c r="I52"/>
      <c r="M52" s="103"/>
      <c r="N52" s="103"/>
      <c r="O52" s="103"/>
      <c r="P52" s="103"/>
      <c r="Q52" s="103"/>
    </row>
    <row r="53" spans="4:17" ht="12.75">
      <c r="D53"/>
      <c r="I53"/>
      <c r="M53" s="103"/>
      <c r="N53" s="103"/>
      <c r="O53" s="103"/>
      <c r="P53" s="103"/>
      <c r="Q53" s="103"/>
    </row>
    <row r="54" spans="4:17" ht="12.75">
      <c r="D54"/>
      <c r="M54" s="103"/>
      <c r="N54" s="103"/>
      <c r="O54" s="103"/>
      <c r="P54" s="103"/>
      <c r="Q54" s="103"/>
    </row>
    <row r="55" spans="4:17" ht="12.75">
      <c r="D55"/>
      <c r="I55" s="82"/>
      <c r="J55" s="82"/>
      <c r="K55" s="82"/>
      <c r="M55" s="103"/>
      <c r="N55" s="103"/>
      <c r="O55" s="103"/>
      <c r="P55" s="103"/>
      <c r="Q55" s="103"/>
    </row>
    <row r="56" spans="4:17" ht="12.75">
      <c r="D56"/>
      <c r="F56" s="174"/>
      <c r="G56" s="174"/>
      <c r="H56" s="174"/>
      <c r="I56" s="82"/>
      <c r="J56" s="82"/>
      <c r="K56" s="82"/>
      <c r="M56" s="103"/>
      <c r="N56" s="103"/>
      <c r="O56" s="103"/>
      <c r="P56" s="103"/>
      <c r="Q56" s="103"/>
    </row>
    <row r="57" spans="9:17" ht="12.75">
      <c r="I57" s="82"/>
      <c r="J57" s="82"/>
      <c r="K57" s="82"/>
      <c r="M57" s="103"/>
      <c r="N57" s="103"/>
      <c r="O57" s="103"/>
      <c r="P57" s="103"/>
      <c r="Q57" s="103"/>
    </row>
    <row r="58" spans="6:17" ht="12.75">
      <c r="F58" s="174"/>
      <c r="G58" s="174"/>
      <c r="H58" s="174"/>
      <c r="I58" s="82"/>
      <c r="J58" s="82"/>
      <c r="K58" s="82"/>
      <c r="M58" s="103"/>
      <c r="N58" s="103"/>
      <c r="O58" s="103"/>
      <c r="P58" s="103"/>
      <c r="Q58" s="103"/>
    </row>
    <row r="59" spans="9:17" ht="12.75">
      <c r="I59" s="82"/>
      <c r="J59" s="82"/>
      <c r="K59" s="82"/>
      <c r="M59" s="103"/>
      <c r="N59" s="103"/>
      <c r="O59" s="103"/>
      <c r="P59" s="103"/>
      <c r="Q59" s="103"/>
    </row>
    <row r="60" spans="6:17" ht="12.75">
      <c r="F60" s="174"/>
      <c r="G60" s="174"/>
      <c r="H60" s="174"/>
      <c r="I60" s="82"/>
      <c r="J60" s="82"/>
      <c r="K60" s="82"/>
      <c r="M60" s="103"/>
      <c r="N60" s="103"/>
      <c r="O60" s="103"/>
      <c r="P60" s="103"/>
      <c r="Q60" s="103"/>
    </row>
    <row r="61" spans="8:17" ht="12.75">
      <c r="H61" s="174"/>
      <c r="I61" s="174"/>
      <c r="J61" s="174"/>
      <c r="K61" s="174"/>
      <c r="M61" s="103"/>
      <c r="N61" s="103"/>
      <c r="O61" s="103"/>
      <c r="P61" s="103"/>
      <c r="Q61" s="103"/>
    </row>
    <row r="62" spans="9:17" ht="12.75">
      <c r="I62" s="82"/>
      <c r="J62" s="82"/>
      <c r="K62" s="82"/>
      <c r="M62" s="103"/>
      <c r="N62" s="103"/>
      <c r="O62" s="103"/>
      <c r="P62" s="103"/>
      <c r="Q62" s="103"/>
    </row>
    <row r="63" spans="6:17" ht="12.75">
      <c r="F63" s="174"/>
      <c r="G63" s="174"/>
      <c r="H63" s="174"/>
      <c r="I63" s="82"/>
      <c r="J63" s="82"/>
      <c r="K63" s="82"/>
      <c r="M63" s="103"/>
      <c r="N63" s="103"/>
      <c r="O63" s="103"/>
      <c r="P63" s="103"/>
      <c r="Q63" s="103"/>
    </row>
    <row r="64" spans="9:17" ht="12.75">
      <c r="I64" s="82"/>
      <c r="J64" s="82"/>
      <c r="K64" s="82"/>
      <c r="M64" s="103"/>
      <c r="N64" s="103"/>
      <c r="O64" s="103"/>
      <c r="P64" s="103"/>
      <c r="Q64" s="103"/>
    </row>
    <row r="65" spans="6:17" ht="12.75">
      <c r="F65" s="174"/>
      <c r="G65" s="174"/>
      <c r="H65" s="174"/>
      <c r="I65" s="82"/>
      <c r="J65" s="82"/>
      <c r="K65" s="82"/>
      <c r="M65" s="103"/>
      <c r="N65" s="103"/>
      <c r="O65" s="103"/>
      <c r="P65" s="103"/>
      <c r="Q65" s="103"/>
    </row>
    <row r="66" spans="9:17" ht="12.75">
      <c r="I66" s="82"/>
      <c r="J66" s="82"/>
      <c r="K66" s="82"/>
      <c r="M66" s="103"/>
      <c r="N66" s="103"/>
      <c r="O66" s="103"/>
      <c r="P66" s="103"/>
      <c r="Q66" s="103"/>
    </row>
    <row r="67" spans="6:17" ht="12.75">
      <c r="F67" s="174"/>
      <c r="G67" s="174"/>
      <c r="H67" s="174"/>
      <c r="I67" s="82"/>
      <c r="J67" s="82"/>
      <c r="K67" s="82"/>
      <c r="M67" s="103"/>
      <c r="N67" s="103"/>
      <c r="O67" s="103"/>
      <c r="P67" s="103"/>
      <c r="Q67" s="103"/>
    </row>
    <row r="68" spans="8:17" ht="12.75">
      <c r="H68" s="174"/>
      <c r="I68" s="174"/>
      <c r="J68" s="174"/>
      <c r="K68" s="174"/>
      <c r="M68" s="103"/>
      <c r="N68" s="103"/>
      <c r="O68" s="103"/>
      <c r="P68" s="103"/>
      <c r="Q68" s="103"/>
    </row>
    <row r="69" spans="9:17" ht="12.75">
      <c r="I69" s="82"/>
      <c r="J69" s="82"/>
      <c r="K69" s="82"/>
      <c r="M69" s="103"/>
      <c r="N69" s="103"/>
      <c r="O69" s="103"/>
      <c r="P69" s="103"/>
      <c r="Q69" s="103"/>
    </row>
    <row r="70" spans="6:17" ht="12.75">
      <c r="F70" s="174"/>
      <c r="G70" s="174"/>
      <c r="H70" s="174"/>
      <c r="I70" s="82"/>
      <c r="J70" s="82"/>
      <c r="K70" s="82"/>
      <c r="M70" s="103"/>
      <c r="N70" s="103"/>
      <c r="O70" s="103"/>
      <c r="P70" s="103"/>
      <c r="Q70" s="103"/>
    </row>
    <row r="71" spans="9:17" ht="12.75">
      <c r="I71" s="82"/>
      <c r="J71" s="82"/>
      <c r="K71" s="82"/>
      <c r="M71" s="103"/>
      <c r="N71" s="103"/>
      <c r="O71" s="103"/>
      <c r="P71" s="103"/>
      <c r="Q71" s="103"/>
    </row>
    <row r="72" spans="6:17" ht="12.75">
      <c r="F72" s="174"/>
      <c r="G72" s="174"/>
      <c r="H72" s="174"/>
      <c r="I72" s="82"/>
      <c r="J72" s="82"/>
      <c r="K72" s="82"/>
      <c r="M72" s="103"/>
      <c r="N72" s="103"/>
      <c r="O72" s="103"/>
      <c r="P72" s="103"/>
      <c r="Q72" s="103"/>
    </row>
    <row r="73" spans="9:17" ht="12.75">
      <c r="I73" s="82"/>
      <c r="J73" s="82"/>
      <c r="K73" s="82"/>
      <c r="M73" s="103"/>
      <c r="N73" s="103"/>
      <c r="O73" s="103"/>
      <c r="P73" s="103"/>
      <c r="Q73" s="103"/>
    </row>
    <row r="74" spans="6:17" ht="12.75">
      <c r="F74" s="174"/>
      <c r="G74" s="174"/>
      <c r="H74" s="174"/>
      <c r="I74" s="82"/>
      <c r="J74" s="82"/>
      <c r="K74" s="82"/>
      <c r="M74" s="103"/>
      <c r="N74" s="103"/>
      <c r="O74" s="103"/>
      <c r="P74" s="103"/>
      <c r="Q74" s="103"/>
    </row>
    <row r="75" spans="8:17" ht="12.75">
      <c r="H75" s="174"/>
      <c r="I75" s="174"/>
      <c r="J75" s="174"/>
      <c r="K75" s="174"/>
      <c r="M75" s="103"/>
      <c r="N75" s="103"/>
      <c r="O75" s="103"/>
      <c r="P75" s="103"/>
      <c r="Q75" s="103"/>
    </row>
    <row r="76" spans="9:17" ht="12.75">
      <c r="I76" s="82"/>
      <c r="J76" s="82"/>
      <c r="K76" s="82"/>
      <c r="M76" s="103"/>
      <c r="N76" s="103"/>
      <c r="O76" s="103"/>
      <c r="P76" s="103"/>
      <c r="Q76" s="103"/>
    </row>
    <row r="77" spans="6:17" ht="12.75">
      <c r="F77" s="174"/>
      <c r="G77" s="174"/>
      <c r="M77" s="103"/>
      <c r="N77" s="103"/>
      <c r="O77" s="103"/>
      <c r="P77" s="103"/>
      <c r="Q77" s="103"/>
    </row>
    <row r="78" spans="13:17" ht="12.75">
      <c r="M78" s="103"/>
      <c r="N78" s="103"/>
      <c r="O78" s="103"/>
      <c r="P78" s="103"/>
      <c r="Q78" s="103"/>
    </row>
    <row r="79" spans="6:17" ht="13.5" customHeight="1">
      <c r="F79" s="174"/>
      <c r="G79" s="174"/>
      <c r="M79" s="103"/>
      <c r="N79" s="103"/>
      <c r="O79" s="103"/>
      <c r="P79" s="103"/>
      <c r="Q79" s="103"/>
    </row>
    <row r="80" spans="9:17" ht="12.75">
      <c r="I80"/>
      <c r="J80"/>
      <c r="M80" s="103"/>
      <c r="N80" s="103"/>
      <c r="O80" s="103"/>
      <c r="P80" s="103"/>
      <c r="Q80" s="103"/>
    </row>
    <row r="81" spans="6:17" ht="12.75">
      <c r="F81" s="174"/>
      <c r="G81" s="174"/>
      <c r="I81"/>
      <c r="J81"/>
      <c r="M81" s="103"/>
      <c r="N81" s="103"/>
      <c r="O81" s="103"/>
      <c r="P81" s="103"/>
      <c r="Q81" s="103"/>
    </row>
    <row r="82" spans="9:17" ht="12.75">
      <c r="I82"/>
      <c r="J82"/>
      <c r="M82" s="103"/>
      <c r="N82" s="103"/>
      <c r="O82" s="103"/>
      <c r="P82" s="103"/>
      <c r="Q82" s="103"/>
    </row>
    <row r="83" spans="9:17" ht="12.75">
      <c r="I83"/>
      <c r="J83"/>
      <c r="M83" s="103"/>
      <c r="N83" s="103"/>
      <c r="O83" s="103"/>
      <c r="P83" s="103"/>
      <c r="Q83" s="103"/>
    </row>
    <row r="84" spans="6:17" ht="12.75">
      <c r="F84" s="174"/>
      <c r="G84" s="174"/>
      <c r="I84"/>
      <c r="J84"/>
      <c r="M84" s="103"/>
      <c r="N84" s="103"/>
      <c r="O84" s="103"/>
      <c r="P84" s="103"/>
      <c r="Q84" s="103"/>
    </row>
    <row r="85" spans="9:17" ht="12.75">
      <c r="I85"/>
      <c r="J85"/>
      <c r="M85" s="103"/>
      <c r="N85" s="103"/>
      <c r="O85" s="103"/>
      <c r="P85" s="103"/>
      <c r="Q85" s="103"/>
    </row>
    <row r="86" spans="6:17" ht="12.75">
      <c r="F86" s="174"/>
      <c r="G86" s="174"/>
      <c r="I86"/>
      <c r="J86"/>
      <c r="M86" s="103"/>
      <c r="N86" s="103"/>
      <c r="O86" s="103"/>
      <c r="P86" s="103"/>
      <c r="Q86" s="103"/>
    </row>
    <row r="87" spans="9:17" ht="12.75">
      <c r="I87"/>
      <c r="J87"/>
      <c r="M87" s="103"/>
      <c r="N87" s="103"/>
      <c r="O87" s="103"/>
      <c r="P87" s="103"/>
      <c r="Q87" s="103"/>
    </row>
    <row r="88" spans="6:17" ht="12.75">
      <c r="F88" s="174"/>
      <c r="G88" s="174"/>
      <c r="I88"/>
      <c r="J88"/>
      <c r="M88" s="103"/>
      <c r="N88" s="103"/>
      <c r="O88" s="103"/>
      <c r="P88" s="103"/>
      <c r="Q88" s="103"/>
    </row>
    <row r="89" spans="9:17" ht="12.75">
      <c r="I89"/>
      <c r="J89"/>
      <c r="M89" s="103"/>
      <c r="N89" s="103"/>
      <c r="O89" s="103"/>
      <c r="P89" s="103"/>
      <c r="Q89" s="103"/>
    </row>
    <row r="90" spans="6:17" ht="12.75">
      <c r="F90" s="174"/>
      <c r="G90" s="174"/>
      <c r="M90" s="103"/>
      <c r="N90" s="103"/>
      <c r="O90" s="103"/>
      <c r="P90" s="103"/>
      <c r="Q90" s="103"/>
    </row>
    <row r="91" spans="13:17" ht="12.75">
      <c r="M91" s="103"/>
      <c r="N91" s="103"/>
      <c r="O91" s="103"/>
      <c r="P91" s="103"/>
      <c r="Q91" s="103"/>
    </row>
    <row r="92" spans="6:17" ht="12.75">
      <c r="F92" s="174"/>
      <c r="G92" s="174"/>
      <c r="M92" s="103"/>
      <c r="N92" s="103"/>
      <c r="O92" s="103"/>
      <c r="P92" s="103"/>
      <c r="Q92" s="103"/>
    </row>
    <row r="93" spans="13:17" ht="12.75">
      <c r="M93" s="103"/>
      <c r="N93" s="103"/>
      <c r="O93" s="103"/>
      <c r="P93" s="103"/>
      <c r="Q93" s="103"/>
    </row>
    <row r="94" spans="6:17" ht="12.75">
      <c r="F94" s="174"/>
      <c r="G94" s="174"/>
      <c r="M94" s="103"/>
      <c r="N94" s="103"/>
      <c r="O94" s="103"/>
      <c r="P94" s="103"/>
      <c r="Q94" s="103"/>
    </row>
    <row r="95" spans="13:17" ht="12.75">
      <c r="M95" s="103"/>
      <c r="N95" s="103"/>
      <c r="O95" s="103"/>
      <c r="P95" s="103"/>
      <c r="Q95" s="103"/>
    </row>
    <row r="96" spans="13:17" ht="12.75">
      <c r="M96" s="103"/>
      <c r="N96" s="103"/>
      <c r="O96" s="103"/>
      <c r="P96" s="103"/>
      <c r="Q96" s="103"/>
    </row>
    <row r="97" spans="6:17" ht="12.75">
      <c r="F97" s="174"/>
      <c r="G97" s="174"/>
      <c r="M97" s="103"/>
      <c r="N97" s="103"/>
      <c r="O97" s="103"/>
      <c r="P97" s="103"/>
      <c r="Q97" s="103"/>
    </row>
    <row r="98" spans="13:17" ht="12.75">
      <c r="M98" s="103"/>
      <c r="N98" s="103"/>
      <c r="O98" s="103"/>
      <c r="P98" s="103"/>
      <c r="Q98" s="103"/>
    </row>
    <row r="99" spans="6:17" ht="12.75">
      <c r="F99" s="174"/>
      <c r="G99" s="174"/>
      <c r="M99" s="103"/>
      <c r="N99" s="103"/>
      <c r="O99" s="103"/>
      <c r="P99" s="103"/>
      <c r="Q99" s="103"/>
    </row>
    <row r="100" spans="13:17" ht="12.75">
      <c r="M100" s="103"/>
      <c r="N100" s="103"/>
      <c r="O100" s="103"/>
      <c r="P100" s="103"/>
      <c r="Q100" s="103"/>
    </row>
    <row r="101" spans="6:17" ht="12.75">
      <c r="F101" s="174"/>
      <c r="G101" s="174"/>
      <c r="M101" s="103"/>
      <c r="N101" s="103"/>
      <c r="O101" s="103"/>
      <c r="P101" s="103"/>
      <c r="Q101" s="103"/>
    </row>
    <row r="102" spans="13:17" ht="12.75">
      <c r="M102" s="103"/>
      <c r="N102" s="103"/>
      <c r="O102" s="103"/>
      <c r="P102" s="103"/>
      <c r="Q102" s="103"/>
    </row>
    <row r="103" spans="13:17" ht="12.75">
      <c r="M103" s="103"/>
      <c r="N103" s="103"/>
      <c r="O103" s="103"/>
      <c r="P103" s="103"/>
      <c r="Q103" s="103"/>
    </row>
    <row r="104" spans="13:17" ht="12.75">
      <c r="M104" s="103"/>
      <c r="N104" s="103"/>
      <c r="O104" s="103"/>
      <c r="P104" s="103"/>
      <c r="Q104" s="103"/>
    </row>
    <row r="105" spans="13:17" ht="12.75">
      <c r="M105" s="103"/>
      <c r="N105" s="103"/>
      <c r="O105" s="103"/>
      <c r="P105" s="103"/>
      <c r="Q105" s="103"/>
    </row>
    <row r="106" spans="13:17" ht="12.75">
      <c r="M106" s="103"/>
      <c r="N106" s="103"/>
      <c r="O106" s="103"/>
      <c r="P106" s="103"/>
      <c r="Q106" s="103"/>
    </row>
    <row r="107" spans="13:17" ht="12.75">
      <c r="M107" s="103"/>
      <c r="N107" s="103"/>
      <c r="O107" s="103"/>
      <c r="P107" s="103"/>
      <c r="Q107" s="103"/>
    </row>
    <row r="108" spans="13:17" ht="12.75">
      <c r="M108" s="103"/>
      <c r="N108" s="103"/>
      <c r="O108" s="103"/>
      <c r="P108" s="103"/>
      <c r="Q108" s="103"/>
    </row>
    <row r="109" spans="13:17" ht="12.75">
      <c r="M109" s="103"/>
      <c r="N109" s="103"/>
      <c r="O109" s="103"/>
      <c r="P109" s="103"/>
      <c r="Q109" s="103"/>
    </row>
    <row r="110" spans="13:17" ht="12.75">
      <c r="M110" s="103"/>
      <c r="N110" s="103"/>
      <c r="O110" s="103"/>
      <c r="P110" s="103"/>
      <c r="Q110" s="103"/>
    </row>
    <row r="111" spans="13:17" ht="12.75">
      <c r="M111" s="103"/>
      <c r="N111" s="103"/>
      <c r="O111" s="103"/>
      <c r="P111" s="103"/>
      <c r="Q111" s="103"/>
    </row>
    <row r="112" spans="13:17" ht="12.75">
      <c r="M112" s="103"/>
      <c r="N112" s="103"/>
      <c r="O112" s="103"/>
      <c r="P112" s="103"/>
      <c r="Q112" s="103"/>
    </row>
    <row r="113" spans="13:17" ht="12.75">
      <c r="M113" s="103"/>
      <c r="N113" s="103"/>
      <c r="O113" s="103"/>
      <c r="P113" s="103"/>
      <c r="Q113" s="103"/>
    </row>
    <row r="114" spans="13:17" ht="12.75">
      <c r="M114" s="103"/>
      <c r="N114" s="103"/>
      <c r="O114" s="103"/>
      <c r="P114" s="103"/>
      <c r="Q114" s="103"/>
    </row>
    <row r="115" spans="13:17" ht="12.75">
      <c r="M115" s="103"/>
      <c r="N115" s="103"/>
      <c r="O115" s="103"/>
      <c r="P115" s="103"/>
      <c r="Q115" s="103"/>
    </row>
    <row r="116" spans="13:17" ht="12.75">
      <c r="M116" s="103"/>
      <c r="N116" s="103"/>
      <c r="O116" s="103"/>
      <c r="P116" s="103"/>
      <c r="Q116" s="103"/>
    </row>
    <row r="117" spans="13:17" ht="12.75">
      <c r="M117" s="103"/>
      <c r="N117" s="103"/>
      <c r="O117" s="103"/>
      <c r="P117" s="103"/>
      <c r="Q117" s="103"/>
    </row>
    <row r="118" spans="13:17" ht="12.75">
      <c r="M118" s="103"/>
      <c r="N118" s="103"/>
      <c r="O118" s="103"/>
      <c r="P118" s="103"/>
      <c r="Q118" s="103"/>
    </row>
    <row r="119" spans="13:17" ht="12.75">
      <c r="M119" s="103"/>
      <c r="N119" s="103"/>
      <c r="O119" s="103"/>
      <c r="P119" s="103"/>
      <c r="Q119" s="103"/>
    </row>
    <row r="120" spans="13:17" ht="12.75">
      <c r="M120" s="103"/>
      <c r="N120" s="103"/>
      <c r="O120" s="103"/>
      <c r="P120" s="103"/>
      <c r="Q120" s="103"/>
    </row>
    <row r="121" spans="13:17" ht="12.75">
      <c r="M121" s="103"/>
      <c r="N121" s="103"/>
      <c r="O121" s="103"/>
      <c r="P121" s="103"/>
      <c r="Q121" s="103"/>
    </row>
    <row r="122" spans="13:17" ht="12.75">
      <c r="M122" s="103"/>
      <c r="N122" s="103"/>
      <c r="O122" s="103"/>
      <c r="P122" s="103"/>
      <c r="Q122" s="103"/>
    </row>
    <row r="123" spans="13:17" ht="12.75">
      <c r="M123" s="103"/>
      <c r="N123" s="103"/>
      <c r="O123" s="103"/>
      <c r="P123" s="103"/>
      <c r="Q123" s="103"/>
    </row>
    <row r="124" spans="13:17" ht="12.75">
      <c r="M124" s="103"/>
      <c r="N124" s="103"/>
      <c r="O124" s="103"/>
      <c r="P124" s="103"/>
      <c r="Q124" s="103"/>
    </row>
    <row r="125" spans="13:17" ht="12.75">
      <c r="M125" s="103"/>
      <c r="N125" s="103"/>
      <c r="O125" s="103"/>
      <c r="P125" s="103"/>
      <c r="Q125" s="103"/>
    </row>
    <row r="126" spans="13:17" ht="12.75">
      <c r="M126" s="103"/>
      <c r="N126" s="103"/>
      <c r="O126" s="103"/>
      <c r="P126" s="103"/>
      <c r="Q126" s="103"/>
    </row>
    <row r="127" spans="13:17" ht="12.75">
      <c r="M127" s="103"/>
      <c r="N127" s="103"/>
      <c r="O127" s="103"/>
      <c r="P127" s="103"/>
      <c r="Q127" s="103"/>
    </row>
    <row r="128" spans="13:17" ht="12.75">
      <c r="M128" s="103"/>
      <c r="N128" s="103"/>
      <c r="O128" s="103"/>
      <c r="P128" s="103"/>
      <c r="Q128" s="103"/>
    </row>
    <row r="129" spans="13:17" ht="12.75">
      <c r="M129" s="103"/>
      <c r="N129" s="103"/>
      <c r="O129" s="103"/>
      <c r="P129" s="103"/>
      <c r="Q129" s="103"/>
    </row>
    <row r="130" spans="13:17" ht="12.75">
      <c r="M130" s="103"/>
      <c r="N130" s="103"/>
      <c r="O130" s="103"/>
      <c r="P130" s="103"/>
      <c r="Q130" s="103"/>
    </row>
    <row r="131" spans="13:17" ht="12.75">
      <c r="M131" s="103"/>
      <c r="N131" s="103"/>
      <c r="O131" s="103"/>
      <c r="P131" s="103"/>
      <c r="Q131" s="103"/>
    </row>
  </sheetData>
  <printOptions/>
  <pageMargins left="0.26" right="0.29" top="0.62" bottom="0.41" header="0.5" footer="0.29"/>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California at Berkeley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Cost Per Product CPP example</dc:title>
  <dc:subject/>
  <dc:creator>Nancy S. Sato Misawa</dc:creator>
  <cp:keywords/>
  <dc:description/>
  <cp:lastModifiedBy>Don Fitchett</cp:lastModifiedBy>
  <cp:lastPrinted>2001-11-12T23:24:19Z</cp:lastPrinted>
  <dcterms:created xsi:type="dcterms:W3CDTF">1999-04-10T23:01:55Z</dcterms:created>
  <dcterms:modified xsi:type="dcterms:W3CDTF">2006-03-30T02:24:58Z</dcterms:modified>
  <cp:category/>
  <cp:version/>
  <cp:contentType/>
  <cp:contentStatus/>
</cp:coreProperties>
</file>